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D876" lockStructure="1"/>
  <bookViews>
    <workbookView xWindow="240" yWindow="195" windowWidth="16275" windowHeight="7875" firstSheet="2" activeTab="2"/>
  </bookViews>
  <sheets>
    <sheet name="DanePomocnicze" sheetId="3" state="hidden" r:id="rId1"/>
    <sheet name="Kalkulacja" sheetId="1" state="hidden" r:id="rId2"/>
    <sheet name="KARTA INFORMACYJNA" sheetId="2" r:id="rId3"/>
  </sheets>
  <definedNames>
    <definedName name="_xlnm.Print_Area" localSheetId="0">DanePomocnicze!#REF!</definedName>
    <definedName name="_xlnm.Print_Area" localSheetId="1">Kalkulacja!$A$3:$O$58</definedName>
    <definedName name="_xlnm.Print_Area" localSheetId="2">'KARTA INFORMACYJNA'!$A$1:$D$50</definedName>
  </definedNames>
  <calcPr calcId="145621"/>
</workbook>
</file>

<file path=xl/calcChain.xml><?xml version="1.0" encoding="utf-8"?>
<calcChain xmlns="http://schemas.openxmlformats.org/spreadsheetml/2006/main">
  <c r="D101" i="1" l="1"/>
  <c r="D102" i="1"/>
  <c r="E102" i="1"/>
  <c r="E101" i="1"/>
  <c r="E100" i="1"/>
  <c r="D100" i="1"/>
  <c r="N100" i="1"/>
  <c r="M100" i="1"/>
  <c r="N102" i="1"/>
  <c r="M102" i="1"/>
  <c r="N101" i="1"/>
  <c r="M101" i="1"/>
  <c r="M88" i="1"/>
  <c r="N88" i="1"/>
  <c r="M89" i="1"/>
  <c r="N89" i="1"/>
  <c r="M90" i="1"/>
  <c r="N90" i="1"/>
  <c r="M91" i="1"/>
  <c r="N91" i="1"/>
  <c r="M92" i="1"/>
  <c r="N92" i="1"/>
  <c r="M93" i="1"/>
  <c r="N93" i="1"/>
  <c r="M94" i="1"/>
  <c r="N94" i="1"/>
  <c r="M95" i="1"/>
  <c r="N95" i="1"/>
  <c r="M96" i="1"/>
  <c r="N96" i="1"/>
  <c r="M97" i="1"/>
  <c r="N97" i="1"/>
  <c r="M98" i="1"/>
  <c r="N98" i="1"/>
  <c r="N87" i="1"/>
  <c r="M87" i="1"/>
  <c r="O9" i="3"/>
  <c r="E43" i="2" l="1"/>
  <c r="H49" i="1" s="1"/>
  <c r="D43" i="3" l="1"/>
  <c r="E55" i="1" s="1"/>
  <c r="D35" i="3" l="1"/>
  <c r="K24" i="1" s="1"/>
  <c r="K23" i="1"/>
  <c r="H52" i="1" l="1"/>
  <c r="E49" i="2"/>
  <c r="E56" i="1" s="1"/>
  <c r="D44" i="3" s="1"/>
  <c r="E48" i="2"/>
  <c r="E47" i="2"/>
  <c r="E54" i="1" s="1"/>
  <c r="F53" i="1" l="1"/>
  <c r="D42" i="3"/>
  <c r="E5" i="2"/>
  <c r="A8" i="1" s="1"/>
  <c r="M18" i="1"/>
  <c r="M17" i="1"/>
  <c r="M16" i="1"/>
  <c r="M15" i="1"/>
  <c r="O22" i="3" l="1"/>
  <c r="K20" i="3"/>
  <c r="K19" i="3"/>
  <c r="O24" i="3"/>
  <c r="O27" i="3" s="1"/>
  <c r="J37" i="1" s="1"/>
  <c r="J26" i="3" l="1"/>
  <c r="C28" i="3" s="1"/>
  <c r="H27" i="1" s="1"/>
  <c r="N104" i="1"/>
  <c r="N103" i="1"/>
  <c r="E75" i="1"/>
  <c r="B75" i="1"/>
  <c r="E74" i="1"/>
  <c r="B74" i="1"/>
  <c r="E73" i="1"/>
  <c r="B73" i="1"/>
  <c r="E72" i="1"/>
  <c r="B72" i="1"/>
  <c r="E71" i="1"/>
  <c r="B71" i="1"/>
  <c r="E70" i="1"/>
  <c r="B70" i="1"/>
  <c r="E69" i="1"/>
  <c r="B69" i="1"/>
  <c r="E68" i="1"/>
  <c r="K36" i="1"/>
  <c r="R27" i="1"/>
  <c r="R23" i="1"/>
  <c r="R26" i="1" s="1"/>
  <c r="M14" i="1"/>
  <c r="M26" i="1" s="1"/>
  <c r="M110" i="1" l="1"/>
  <c r="F112" i="1" s="1"/>
  <c r="L26" i="1"/>
  <c r="L29" i="1" s="1"/>
  <c r="L30" i="1" l="1"/>
  <c r="D33" i="3" s="1"/>
  <c r="D30" i="3"/>
  <c r="G31" i="1" l="1"/>
  <c r="G32" i="1" s="1"/>
  <c r="J32" i="1" s="1"/>
  <c r="O17" i="3"/>
  <c r="O18" i="3" s="1"/>
  <c r="N32" i="1"/>
  <c r="D31" i="3"/>
  <c r="N33" i="1" s="1"/>
  <c r="O19" i="3" l="1"/>
  <c r="O21" i="3" s="1"/>
  <c r="O28" i="3"/>
  <c r="J38" i="1" s="1"/>
  <c r="G33" i="1"/>
  <c r="R8" i="1" s="1"/>
  <c r="R16" i="1" s="1"/>
  <c r="R17" i="1" s="1"/>
  <c r="R18" i="1" s="1"/>
  <c r="R19" i="1" s="1"/>
  <c r="J31" i="1"/>
  <c r="J33" i="1" s="1"/>
  <c r="O25" i="3"/>
  <c r="O26" i="3" s="1"/>
  <c r="J36" i="1" s="1"/>
  <c r="O20" i="3" l="1"/>
  <c r="O23" i="3" s="1"/>
  <c r="O30" i="3"/>
  <c r="O34" i="3" s="1"/>
  <c r="J39" i="1" s="1"/>
  <c r="D36" i="3"/>
  <c r="R20" i="1"/>
  <c r="R22" i="1" s="1"/>
  <c r="R29" i="1"/>
  <c r="R33" i="1" s="1"/>
  <c r="R24" i="1"/>
  <c r="R25" i="1" s="1"/>
  <c r="R28" i="1" s="1"/>
  <c r="O29" i="3"/>
  <c r="O31" i="3" l="1"/>
  <c r="O33" i="3" s="1"/>
  <c r="R30" i="1"/>
  <c r="R32" i="1" s="1"/>
  <c r="R21" i="1"/>
  <c r="O32" i="3" l="1"/>
  <c r="O35" i="3" s="1"/>
  <c r="O36" i="3" s="1"/>
  <c r="R31" i="1"/>
  <c r="R34" i="1" s="1"/>
  <c r="R35" i="1" s="1"/>
  <c r="J35" i="1"/>
  <c r="D37" i="3" s="1"/>
  <c r="J41" i="1" l="1"/>
  <c r="J42" i="1" l="1"/>
  <c r="J43" i="1" s="1"/>
  <c r="D38" i="3"/>
  <c r="E50" i="1" l="1"/>
  <c r="D39" i="3" s="1"/>
  <c r="D40" i="3" s="1"/>
  <c r="D41" i="3" l="1"/>
  <c r="H50" i="1"/>
  <c r="H51" i="1" s="1"/>
</calcChain>
</file>

<file path=xl/comments1.xml><?xml version="1.0" encoding="utf-8"?>
<comments xmlns="http://schemas.openxmlformats.org/spreadsheetml/2006/main">
  <authors>
    <author>Wojciech Gawroński</author>
  </authors>
  <commentList>
    <comment ref="A8" authorId="0">
      <text>
        <r>
          <rPr>
            <b/>
            <sz val="9"/>
            <color indexed="81"/>
            <rFont val="Tahoma"/>
            <family val="2"/>
            <charset val="238"/>
          </rPr>
          <t>Wojciech Gawroński: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Wojciech Gawroński</author>
  </authors>
  <commentList>
    <comment ref="C47" authorId="0">
      <text>
        <r>
          <rPr>
            <sz val="9"/>
            <color indexed="81"/>
            <rFont val="Tahoma"/>
            <family val="2"/>
            <charset val="238"/>
          </rPr>
          <t xml:space="preserve">FORMAT DATY: rrrr-mm-dd
</t>
        </r>
      </text>
    </comment>
    <comment ref="C48" authorId="0">
      <text>
        <r>
          <rPr>
            <sz val="9"/>
            <color indexed="81"/>
            <rFont val="Tahoma"/>
            <family val="2"/>
            <charset val="238"/>
          </rPr>
          <t xml:space="preserve">FORMAT DATY: rrrr-mm-dd
</t>
        </r>
      </text>
    </comment>
    <comment ref="C49" authorId="0">
      <text>
        <r>
          <rPr>
            <sz val="9"/>
            <color indexed="81"/>
            <rFont val="Tahoma"/>
            <family val="2"/>
            <charset val="238"/>
          </rPr>
          <t xml:space="preserve">FORMAT DATY: rrrr-mm-dd
</t>
        </r>
      </text>
    </comment>
  </commentList>
</comments>
</file>

<file path=xl/sharedStrings.xml><?xml version="1.0" encoding="utf-8"?>
<sst xmlns="http://schemas.openxmlformats.org/spreadsheetml/2006/main" count="347" uniqueCount="218">
  <si>
    <t>KALKULACJA DODATKOWYCH KOSZTÓW BADANIA</t>
  </si>
  <si>
    <t>L.p</t>
  </si>
  <si>
    <t>Pozycje</t>
  </si>
  <si>
    <t>Wartość</t>
  </si>
  <si>
    <t>Opis</t>
  </si>
  <si>
    <t>Normatywna pracochłonność zgodnie z Uchwałą  nr 259/20/2005</t>
  </si>
  <si>
    <t>ilość km w jedną stronę</t>
  </si>
  <si>
    <t>rzeczywista odległość wg np. map24</t>
  </si>
  <si>
    <t>Krajowej Rady Biegłych Rewidentów z dnia 8 lutego 2005 r</t>
  </si>
  <si>
    <t>graniczna odległość dla potrzeby nocowania</t>
  </si>
  <si>
    <t>zakładane</t>
  </si>
  <si>
    <t>odległość graniczna dla diety</t>
  </si>
  <si>
    <t>Ustalona dla podmiotu badanego, to jest:</t>
  </si>
  <si>
    <t>stawka za 1 km przebiegu</t>
  </si>
  <si>
    <t>wg stawek</t>
  </si>
  <si>
    <t>stawka diety</t>
  </si>
  <si>
    <t>Ilość normogodzin</t>
  </si>
  <si>
    <t>z wyliczenia wg KI</t>
  </si>
  <si>
    <t>Ilość osób</t>
  </si>
  <si>
    <t>Ilość godzin na dniówkę</t>
  </si>
  <si>
    <t>% - pracy u klienta</t>
  </si>
  <si>
    <t>koszt 1 noclegu</t>
  </si>
  <si>
    <t>zakładane do sprawdzenia</t>
  </si>
  <si>
    <t>Normatywna minimalna pracochłonność uzależniona jest od:</t>
  </si>
  <si>
    <t>% - ubezpieczenia</t>
  </si>
  <si>
    <t>wg polisy - do sprawdzenia</t>
  </si>
  <si>
    <t>Łącznej wartości sumy bilansowej i przychodów za rok poprzedzający badanie w zł.</t>
  </si>
  <si>
    <t>% - skałdaka kibr - nadzór</t>
  </si>
  <si>
    <t>wg kibr</t>
  </si>
  <si>
    <t>*przychody ze sprzedaży i zrównane z nimi</t>
  </si>
  <si>
    <t>% - wynagrodzenie weryfikatora</t>
  </si>
  <si>
    <t>*pozostałe przychody operacyjne</t>
  </si>
  <si>
    <t>Ilość godzin w terenie</t>
  </si>
  <si>
    <t>samo się wylicza</t>
  </si>
  <si>
    <t>*przychody finansowe</t>
  </si>
  <si>
    <t>ilość roboczodni w terenie</t>
  </si>
  <si>
    <t>*suma bilnsowa</t>
  </si>
  <si>
    <t>ilość dni w terenie po korekcie o ilość osób</t>
  </si>
  <si>
    <t>ilość tygodni w terenie</t>
  </si>
  <si>
    <t>ilość dni w ostatnim tygodniu</t>
  </si>
  <si>
    <t>Minimalna pracochłonność badania sprawozdania finansowego wyrażona w godzinach pracy</t>
  </si>
  <si>
    <t>za rok:</t>
  </si>
  <si>
    <t>na podstawie danych roku:</t>
  </si>
  <si>
    <t>ilość noclegów do opłacenia</t>
  </si>
  <si>
    <t>Przyjęta przez jednostkę stawka wynagrodzenia podmiotu uprawnionego do badania sprawozdań finansowych w zł za 1 godzinę</t>
  </si>
  <si>
    <t xml:space="preserve">           Dane obecne są zbliżone do danych z roku</t>
  </si>
  <si>
    <t>ilość podróży przy założeni noclegów</t>
  </si>
  <si>
    <t>biegłego</t>
  </si>
  <si>
    <t xml:space="preserve">           ubiegłego z tendencją nieznacznego obniżenia</t>
  </si>
  <si>
    <t>potrzeba noclegu</t>
  </si>
  <si>
    <t>aplikanta</t>
  </si>
  <si>
    <t>ilość podróży rzeczywista</t>
  </si>
  <si>
    <t>Wybrano pracochłonność (wg ustalonego wzoru) na podstawie wielkości przychodów oraz sumy bilansowej</t>
  </si>
  <si>
    <t>MINIMUM</t>
  </si>
  <si>
    <t>MAXIMUM</t>
  </si>
  <si>
    <t>koszt podróży</t>
  </si>
  <si>
    <t>koszt noclegów</t>
  </si>
  <si>
    <t>Poziom ryzyka nieodłącznego (wyliczony wg arkusza poniżej)</t>
  </si>
  <si>
    <t>koszt diet</t>
  </si>
  <si>
    <t>Razem koszty delegacji</t>
  </si>
  <si>
    <t>Ilość godzin pracochłonności po uwzględnieniu wyżej wyliczonego poziomu ryzyka nieodłącznego.</t>
  </si>
  <si>
    <t>Wynagrodzenia biegłego i aplikanta</t>
  </si>
  <si>
    <t>z kalkulacji - ściągnąć z wyliczenia</t>
  </si>
  <si>
    <t>Ostateczna ilość godzin pracochłonności przyjęta przez audytora</t>
  </si>
  <si>
    <t>Razem koszty badania bez dodatkowych</t>
  </si>
  <si>
    <t>z tego:</t>
  </si>
  <si>
    <t>ilość godzin pracy biegłego</t>
  </si>
  <si>
    <t>należność</t>
  </si>
  <si>
    <t>ubezpieczenie</t>
  </si>
  <si>
    <t>ilość godzin pracy aplikanta/ów</t>
  </si>
  <si>
    <t>Łączna liczba dni badania</t>
  </si>
  <si>
    <t>składka kibr</t>
  </si>
  <si>
    <t>razem</t>
  </si>
  <si>
    <t>Liczba dni - badanie zasadnicze</t>
  </si>
  <si>
    <t>weryfikator</t>
  </si>
  <si>
    <t xml:space="preserve">wartość badania na podstawie w/w pracochłonności + </t>
  </si>
  <si>
    <t>Razem koszty dodatkowe</t>
  </si>
  <si>
    <t>Powiększenia o planowane koszty:</t>
  </si>
  <si>
    <t>Liczba [km]</t>
  </si>
  <si>
    <t>Razem koszty badania</t>
  </si>
  <si>
    <t>koszty przejazdów</t>
  </si>
  <si>
    <t xml:space="preserve">noclegów </t>
  </si>
  <si>
    <t>diet</t>
  </si>
  <si>
    <t>wynagrodzenie weryfikatora oraz inne</t>
  </si>
  <si>
    <t>Razem minimalne wynagrodzenie z tytułu badania</t>
  </si>
  <si>
    <t>W zaokrągleniu</t>
  </si>
  <si>
    <t>W przypadku, gdy przyjęta przez podmiot rzeczywista pracochłonność badania jest niższa od normatywnej pracochłonności minimalnej, ustalonej zgodnie z ww. uchwałą, o więcej niż 25 % wymagane jest uzasadnienie tego w dokumentacji roboczej (paragraf 3 pkt 2.)</t>
  </si>
  <si>
    <t>Cena wysłanej oferty w roku ubiegłym:</t>
  </si>
  <si>
    <t>Propozycje warunków</t>
  </si>
  <si>
    <t>Ostateczne warunki</t>
  </si>
  <si>
    <t>Cena:</t>
  </si>
  <si>
    <t>Termin badania wstępnego:</t>
  </si>
  <si>
    <t>Termin badania właściwego:</t>
  </si>
  <si>
    <t>Termin przekazania opinii:</t>
  </si>
  <si>
    <t>Dodatkowe wymagania:</t>
  </si>
  <si>
    <t xml:space="preserve">Łącznie: suma bilansowa + przychody ze sprzedaży i zrównane z nimi + pozostałe przychody operacyjne + przychody finansowe </t>
  </si>
  <si>
    <t>Minimalna pracochłonność badania sprawozdania finansowego uzależnina od poziomu ryzyka nieodłącznego</t>
  </si>
  <si>
    <t>w złotych</t>
  </si>
  <si>
    <t>w godzinach</t>
  </si>
  <si>
    <t>od</t>
  </si>
  <si>
    <t>do</t>
  </si>
  <si>
    <t>powyżej 240 000 000</t>
  </si>
  <si>
    <t>Ocena ryzyka do ustalenia ilości normogodzin</t>
  </si>
  <si>
    <t>Czynniki związane z ogólną działalnością firmy</t>
  </si>
  <si>
    <t>Tak/Nie</t>
  </si>
  <si>
    <t>Punkty 1,2 lub 3 wg osądu biegłego</t>
  </si>
  <si>
    <t>Czy  badana  jednostka jest naszym nowym zleceniodawcą ?</t>
  </si>
  <si>
    <t>Czy struktura jednostki jest złożona,  przy czy złożoność ta nie jest uzasadniona ?</t>
  </si>
  <si>
    <t>Czy opinia z badania sprawozdania finansowego za lata poprzednie zawierała zastrzeżenia, względnie objaśnienia?</t>
  </si>
  <si>
    <t>Czy poprzednie badania ujawniły błędy ?</t>
  </si>
  <si>
    <t>Czy jednostka działa w branży charakteryzującej się dużym ryzykiem ?</t>
  </si>
  <si>
    <t>Czy przychody jednostki w wymiarze powyżej 30 % są  uzależnione od jednego produktu lub odbiorcy ?</t>
  </si>
  <si>
    <t>Czy zarząd firmy ma doświadczenie w jej prowadzeniu ?</t>
  </si>
  <si>
    <t>Czy na kluczowych stanowiskach istnieje duża rotacja ?</t>
  </si>
  <si>
    <t>Czy występują operacje z jednostkami zależnymi względnie z jednostką dominującą?</t>
  </si>
  <si>
    <t>Czy występują symptomy rozwojowe ( nowe produkty, nowe narzędzia pracy ) ?</t>
  </si>
  <si>
    <t>Czy wstępna analiza wskazuje na kłopoty w zakresie płynności ?</t>
  </si>
  <si>
    <t>Czy właściciel /zarząd/ dąży do zaniżania podatków ?</t>
  </si>
  <si>
    <t>Czy występują inne czynniki powodujące wzrost ryzyka ? Jeżeli tak, określić je i ocenić według uznania.</t>
  </si>
  <si>
    <t>Łączna punktowa ocena ryzyka nieodłącznego</t>
  </si>
  <si>
    <t>Liczba zaznaczeń</t>
  </si>
  <si>
    <t>Wpisy kompletne</t>
  </si>
  <si>
    <t>1,0  &lt; lub = ogólna ocena &lt; lub =1,5 oznacza ryzyko niskie</t>
  </si>
  <si>
    <t>1,5 &lt; lub = ogólna ocena &lt; lub = 2,5 oznacza ryzyko średnie</t>
  </si>
  <si>
    <t>2,5 &lt; lub = ogólna ocena &lt; lub = 3,0 oznacza ryzyko wysokie</t>
  </si>
  <si>
    <t>Ogólna ocena = łączna punktowa ocena ryzyka  X / liczba zaznaczeń</t>
  </si>
  <si>
    <t xml:space="preserve"> =</t>
  </si>
  <si>
    <t>Wnioski</t>
  </si>
  <si>
    <t>KARTA INFORMACYJNA KLIENTA</t>
  </si>
  <si>
    <t>Z.06a</t>
  </si>
  <si>
    <t>Pozycja</t>
  </si>
  <si>
    <t>Dane jednostki</t>
  </si>
  <si>
    <t>Pełna nazwa Jednostki</t>
  </si>
  <si>
    <t>Imię i nazwisko oraz funkcja osoby odpowiedzialnej</t>
  </si>
  <si>
    <t>Imię i nazwisko osoby kontaktowej</t>
  </si>
  <si>
    <t>Stanowisko osoby kontaktowej</t>
  </si>
  <si>
    <t>Dane kontaktowe:</t>
  </si>
  <si>
    <t xml:space="preserve">                           Telefon</t>
  </si>
  <si>
    <t xml:space="preserve">                           Faks </t>
  </si>
  <si>
    <t>Krótki opis przedmiotu działalności</t>
  </si>
  <si>
    <t>Okres objęty badaniem (od … do….)</t>
  </si>
  <si>
    <t>a</t>
  </si>
  <si>
    <t xml:space="preserve">przychody netto ze sprzedaży   </t>
  </si>
  <si>
    <t>b</t>
  </si>
  <si>
    <t>przychody finansowe</t>
  </si>
  <si>
    <t>c</t>
  </si>
  <si>
    <t>przychody operacyjne</t>
  </si>
  <si>
    <t>d</t>
  </si>
  <si>
    <t xml:space="preserve">wynik finansowy netto  </t>
  </si>
  <si>
    <t>e</t>
  </si>
  <si>
    <t>aktywa trwałe</t>
  </si>
  <si>
    <t>f</t>
  </si>
  <si>
    <t>zapasy</t>
  </si>
  <si>
    <t>g</t>
  </si>
  <si>
    <t>kredyty i pożyczki (łącznie)</t>
  </si>
  <si>
    <t>h</t>
  </si>
  <si>
    <t>kapitały własne</t>
  </si>
  <si>
    <t>i</t>
  </si>
  <si>
    <t>suma bilansowa</t>
  </si>
  <si>
    <t>j</t>
  </si>
  <si>
    <t>liczba zatrudnionych (przeciętna w roku)</t>
  </si>
  <si>
    <t>k</t>
  </si>
  <si>
    <t>liczba zatrudnionych w księgowości (przeciętna w roku)</t>
  </si>
  <si>
    <t>l</t>
  </si>
  <si>
    <t>szacunkowa ilość dokumentów w miesiącu (łącznie)</t>
  </si>
  <si>
    <t xml:space="preserve">Czy jednostka stosuje MSSF? </t>
  </si>
  <si>
    <t>Czy badanie obejmuje sprawozdanie skonsolidowane? (jeżeli tak proszę podać dane z pkt 9 a-i oraz udział w kapitale)</t>
  </si>
  <si>
    <t xml:space="preserve">Czy konsolidowane spółki zależne podlegają badaniu? (Jeżeli tak to proszę wypełnić karty informacyjne dla nich)  </t>
  </si>
  <si>
    <t>Czy w ubiegłym/ bieżącym roku sprawozdawczym wystąpiły/ wystąpią ulgi podatkowe - jeśli tak to jakie?</t>
  </si>
  <si>
    <t>Czy w jednostce występują/ wystąpiły zjawiska nietypowe – ugoda bankowa, sądowa, ZUS, US, układ, sprzedaż części jednostki, połączenie, wydzielenie, inne istotne dla jednostki? (jeżeli tak proszę o ich nazwanie i krótki opis?</t>
  </si>
  <si>
    <t>Czy przychody są uzależnione w ponad 30% od jednego produktu lub odbiorcy?</t>
  </si>
  <si>
    <t>Czy jednostka jest wielozakładowa?</t>
  </si>
  <si>
    <t>Ilość zakładów i ich lokalizacja</t>
  </si>
  <si>
    <t>Czy zakłady są samobilansujące?</t>
  </si>
  <si>
    <t>Czy jednostka sporządza sprawozdanie łączne?</t>
  </si>
  <si>
    <t>Audytor za rok ubiegły</t>
  </si>
  <si>
    <t>Rodzaj opinii za rok ubiegły?</t>
  </si>
  <si>
    <t>Nazwa i producent programu finansowo księgowego?</t>
  </si>
  <si>
    <t xml:space="preserve">Obszary działalności nie objęte ewidencją komputerową </t>
  </si>
  <si>
    <t>Dodatkowe informacje, oczekiwania istotne zdaniem zleceniodawcy dla przygotowania oferty:</t>
  </si>
  <si>
    <r>
      <t xml:space="preserve">Wielkości charakteryzujące rok w </t>
    </r>
    <r>
      <rPr>
        <b/>
        <sz val="11"/>
        <color rgb="FFFF0000"/>
        <rFont val="Times New Roman"/>
        <family val="1"/>
        <charset val="238"/>
      </rPr>
      <t xml:space="preserve">tys zł: </t>
    </r>
  </si>
  <si>
    <r>
      <t xml:space="preserve">Cena badania w roku poprzednim </t>
    </r>
    <r>
      <rPr>
        <sz val="9"/>
        <rFont val="Times New Roman"/>
        <family val="1"/>
        <charset val="238"/>
      </rPr>
      <t xml:space="preserve">(UoR pkt 4/6 informacji dodatkowej, zał.1) w </t>
    </r>
    <r>
      <rPr>
        <b/>
        <sz val="9"/>
        <color rgb="FFFF0000"/>
        <rFont val="Times New Roman"/>
        <family val="1"/>
        <charset val="238"/>
      </rPr>
      <t>tys. zł</t>
    </r>
  </si>
  <si>
    <t>L,p</t>
  </si>
  <si>
    <t>Tak / Nie</t>
  </si>
  <si>
    <t xml:space="preserve">                           e-mail osoby kontaktowej</t>
  </si>
  <si>
    <r>
      <t xml:space="preserve">(prosimy odesłać na adres </t>
    </r>
    <r>
      <rPr>
        <b/>
        <sz val="12"/>
        <color theme="4"/>
        <rFont val="Times New Roman"/>
        <family val="1"/>
        <charset val="238"/>
      </rPr>
      <t>partner@cz.pl</t>
    </r>
    <r>
      <rPr>
        <b/>
        <sz val="12"/>
        <rFont val="Times New Roman"/>
        <family val="1"/>
        <charset val="238"/>
      </rPr>
      <t>)</t>
    </r>
  </si>
  <si>
    <t>Dane pomocnicze</t>
  </si>
  <si>
    <t>Karta informacyjna</t>
  </si>
  <si>
    <t>Audytor:</t>
  </si>
  <si>
    <t>Wojciech Gawroński</t>
  </si>
  <si>
    <t>nr. ewidencyjny</t>
  </si>
  <si>
    <t xml:space="preserve">                           Kod Pocztowy i Miejscowość (XX-XXX Miejscowość)</t>
  </si>
  <si>
    <t xml:space="preserve">                           ulica, numer posesji , numer lokalu (ul. Ulica X/X)</t>
  </si>
  <si>
    <t>Adres strony internetowej</t>
  </si>
  <si>
    <t>Nazwa organu uprawnionego do wyboru biegłego rewidenta</t>
  </si>
  <si>
    <t>Data przygotowania sprawozdania finansowego do badania? (RRRR-MM-DD)</t>
  </si>
  <si>
    <t>Preferowana data przekazania opinii? (RRRR-MM-DD)</t>
  </si>
  <si>
    <t>Ostateczny termin złożenia oferty? (RRR-MM-DD)</t>
  </si>
  <si>
    <t>BRUTTO</t>
  </si>
  <si>
    <t>Termin złożenia oferty</t>
  </si>
  <si>
    <t>Termin przygotowania sprawozdania</t>
  </si>
  <si>
    <t>Warunki ostateczne</t>
  </si>
  <si>
    <t>IV kwartał 2015</t>
  </si>
  <si>
    <t>cena netto</t>
  </si>
  <si>
    <t>cena netto ostecznie</t>
  </si>
  <si>
    <t>cena brutto osttecznie</t>
  </si>
  <si>
    <t>cena netto za badanie</t>
  </si>
  <si>
    <t>pozostałe koszty</t>
  </si>
  <si>
    <t>cena netto (bez zaokrągleń)</t>
  </si>
  <si>
    <t>stawka godzinowa biegłego</t>
  </si>
  <si>
    <t>stawka godzinowa aplikanta</t>
  </si>
  <si>
    <t>ilość godzin badania</t>
  </si>
  <si>
    <t>do wpisania ostatecznej wartość</t>
  </si>
  <si>
    <t>do wpisania wartości do obliczeń</t>
  </si>
  <si>
    <t>cena za rok ubiegły</t>
  </si>
  <si>
    <t>Rok poprzedni</t>
  </si>
  <si>
    <t xml:space="preserve">Cena badania za rok ubiegły </t>
  </si>
  <si>
    <t>Rok badany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</si>
</sst>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* #,##0.00\ &quot;zł&quot;_-;\-* #,##0.00\ &quot;zł&quot;_-;_-* &quot;-&quot;??\ &quot;zł&quot;_-;_-@_-"/>
    <numFmt numFmtId="164" formatCode="0.0"/>
    <numFmt numFmtId="165" formatCode="_-* #,##0.0000\ &quot;zł&quot;_-;\-* #,##0.0000\ &quot;zł&quot;_-;_-* &quot;-&quot;??\ &quot;zł&quot;_-;_-@_-"/>
    <numFmt numFmtId="166" formatCode="#,##0.00\ &quot;zł&quot;"/>
    <numFmt numFmtId="167" formatCode="#,##0.0"/>
    <numFmt numFmtId="168" formatCode="0.0%"/>
    <numFmt numFmtId="169" formatCode="[$-F800]dddd\,\ mmmm\ dd\,\ yyyy"/>
    <numFmt numFmtId="170" formatCode="[$-415]d\ mmmm\ yyyy;@"/>
  </numFmts>
  <fonts count="26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u/>
      <sz val="10"/>
      <color theme="10"/>
      <name val="Arial CE"/>
      <charset val="238"/>
    </font>
    <font>
      <sz val="10"/>
      <name val="Arial CE"/>
      <charset val="238"/>
    </font>
    <font>
      <sz val="11"/>
      <color theme="1"/>
      <name val="Czcionka tekstu podstawowego"/>
      <charset val="238"/>
    </font>
    <font>
      <i/>
      <sz val="11"/>
      <color rgb="FFFF0000"/>
      <name val="Czcionka tekstu podstawowego"/>
      <charset val="238"/>
    </font>
    <font>
      <b/>
      <sz val="10"/>
      <name val="Arial CE"/>
      <family val="2"/>
      <charset val="238"/>
    </font>
    <font>
      <sz val="11"/>
      <color rgb="FFFF0000"/>
      <name val="Czcionka tekstu podstawowego"/>
      <family val="2"/>
      <charset val="238"/>
    </font>
    <font>
      <u/>
      <sz val="10"/>
      <name val="Arial CE"/>
      <family val="2"/>
      <charset val="238"/>
    </font>
    <font>
      <sz val="11"/>
      <name val="Arial CE"/>
      <charset val="238"/>
    </font>
    <font>
      <b/>
      <sz val="11"/>
      <color theme="1"/>
      <name val="Czcionka tekstu podstawowego"/>
      <charset val="238"/>
    </font>
    <font>
      <sz val="12"/>
      <color theme="1"/>
      <name val="Czcionka tekstu podstawowego"/>
      <charset val="238"/>
    </font>
    <font>
      <b/>
      <sz val="12"/>
      <color theme="1"/>
      <name val="Czcionka tekstu podstawowego"/>
      <charset val="238"/>
    </font>
    <font>
      <b/>
      <sz val="14"/>
      <name val="Arial CE"/>
      <family val="2"/>
      <charset val="238"/>
    </font>
    <font>
      <b/>
      <sz val="10"/>
      <name val="Arial CE"/>
      <charset val="238"/>
    </font>
    <font>
      <b/>
      <sz val="10"/>
      <color indexed="10"/>
      <name val="Arial CE"/>
      <family val="2"/>
      <charset val="238"/>
    </font>
    <font>
      <sz val="10"/>
      <name val="Arial"/>
      <family val="2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sz val="9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b/>
      <sz val="9"/>
      <color rgb="FFFF0000"/>
      <name val="Times New Roman"/>
      <family val="1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2"/>
      <color theme="4"/>
      <name val="Times New Roman"/>
      <family val="1"/>
      <charset val="238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44" fontId="3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6" fillId="0" borderId="0"/>
    <xf numFmtId="9" fontId="3" fillId="0" borderId="0" applyFont="0" applyFill="0" applyBorder="0" applyAlignment="0" applyProtection="0"/>
  </cellStyleXfs>
  <cellXfs count="161">
    <xf numFmtId="0" fontId="0" fillId="0" borderId="0" xfId="0"/>
    <xf numFmtId="0" fontId="2" fillId="0" borderId="0" xfId="2" applyFill="1"/>
    <xf numFmtId="0" fontId="0" fillId="0" borderId="0" xfId="0" applyFill="1"/>
    <xf numFmtId="0" fontId="4" fillId="0" borderId="1" xfId="0" applyFont="1" applyFill="1" applyBorder="1"/>
    <xf numFmtId="0" fontId="0" fillId="0" borderId="1" xfId="0" applyFill="1" applyBorder="1"/>
    <xf numFmtId="0" fontId="5" fillId="0" borderId="1" xfId="0" applyFont="1" applyFill="1" applyBorder="1"/>
    <xf numFmtId="0" fontId="0" fillId="0" borderId="0" xfId="0" applyFill="1" applyAlignment="1">
      <alignment horizontal="left"/>
    </xf>
    <xf numFmtId="0" fontId="6" fillId="0" borderId="0" xfId="0" applyFont="1" applyFill="1" applyAlignment="1">
      <alignment horizontal="left"/>
    </xf>
    <xf numFmtId="0" fontId="7" fillId="0" borderId="1" xfId="0" applyFont="1" applyFill="1" applyBorder="1"/>
    <xf numFmtId="0" fontId="0" fillId="0" borderId="0" xfId="0" applyFill="1" applyAlignment="1">
      <alignment horizontal="center"/>
    </xf>
    <xf numFmtId="9" fontId="0" fillId="0" borderId="1" xfId="0" applyNumberFormat="1" applyFill="1" applyBorder="1"/>
    <xf numFmtId="4" fontId="0" fillId="0" borderId="0" xfId="0" applyNumberFormat="1" applyFill="1"/>
    <xf numFmtId="0" fontId="0" fillId="0" borderId="0" xfId="0" applyFill="1" applyBorder="1"/>
    <xf numFmtId="4" fontId="9" fillId="0" borderId="1" xfId="0" applyNumberFormat="1" applyFont="1" applyFill="1" applyBorder="1"/>
    <xf numFmtId="4" fontId="9" fillId="0" borderId="0" xfId="0" applyNumberFormat="1" applyFont="1" applyFill="1" applyBorder="1"/>
    <xf numFmtId="4" fontId="9" fillId="0" borderId="1" xfId="0" applyNumberFormat="1" applyFont="1" applyFill="1" applyBorder="1" applyAlignment="1" applyProtection="1">
      <alignment horizontal="right"/>
      <protection locked="0"/>
    </xf>
    <xf numFmtId="4" fontId="9" fillId="0" borderId="0" xfId="0" applyNumberFormat="1" applyFont="1" applyFill="1" applyBorder="1" applyAlignment="1" applyProtection="1">
      <alignment horizontal="right"/>
      <protection locked="0"/>
    </xf>
    <xf numFmtId="164" fontId="5" fillId="0" borderId="1" xfId="0" applyNumberFormat="1" applyFont="1" applyFill="1" applyBorder="1"/>
    <xf numFmtId="0" fontId="0" fillId="0" borderId="0" xfId="0" applyFill="1" applyAlignment="1">
      <alignment horizontal="right"/>
    </xf>
    <xf numFmtId="0" fontId="0" fillId="0" borderId="1" xfId="0" applyFill="1" applyBorder="1" applyAlignment="1" applyProtection="1">
      <alignment horizontal="center"/>
      <protection locked="0"/>
    </xf>
    <xf numFmtId="0" fontId="0" fillId="0" borderId="0" xfId="0" applyFill="1" applyAlignment="1"/>
    <xf numFmtId="44" fontId="9" fillId="0" borderId="1" xfId="1" applyFont="1" applyFill="1" applyBorder="1" applyAlignment="1" applyProtection="1">
      <alignment horizontal="right"/>
      <protection locked="0"/>
    </xf>
    <xf numFmtId="0" fontId="0" fillId="0" borderId="1" xfId="0" applyFill="1" applyBorder="1" applyAlignment="1">
      <alignment horizontal="center"/>
    </xf>
    <xf numFmtId="4" fontId="0" fillId="0" borderId="1" xfId="0" applyNumberFormat="1" applyFill="1" applyBorder="1"/>
    <xf numFmtId="0" fontId="9" fillId="0" borderId="1" xfId="0" applyFont="1" applyFill="1" applyBorder="1" applyAlignment="1">
      <alignment horizontal="right"/>
    </xf>
    <xf numFmtId="0" fontId="10" fillId="0" borderId="1" xfId="0" applyFont="1" applyFill="1" applyBorder="1"/>
    <xf numFmtId="4" fontId="10" fillId="0" borderId="1" xfId="0" applyNumberFormat="1" applyFont="1" applyFill="1" applyBorder="1"/>
    <xf numFmtId="0" fontId="0" fillId="0" borderId="1" xfId="0" applyFill="1" applyBorder="1" applyAlignment="1" applyProtection="1">
      <alignment horizontal="right"/>
    </xf>
    <xf numFmtId="1" fontId="0" fillId="0" borderId="1" xfId="0" applyNumberFormat="1" applyFill="1" applyBorder="1" applyProtection="1"/>
    <xf numFmtId="44" fontId="0" fillId="0" borderId="1" xfId="0" applyNumberFormat="1" applyFill="1" applyBorder="1" applyAlignment="1">
      <alignment horizontal="right"/>
    </xf>
    <xf numFmtId="1" fontId="0" fillId="0" borderId="1" xfId="0" applyNumberFormat="1" applyFill="1" applyBorder="1"/>
    <xf numFmtId="0" fontId="0" fillId="0" borderId="1" xfId="0" applyFill="1" applyBorder="1" applyProtection="1"/>
    <xf numFmtId="44" fontId="0" fillId="0" borderId="1" xfId="1" applyFont="1" applyFill="1" applyBorder="1" applyAlignment="1">
      <alignment horizontal="right"/>
    </xf>
    <xf numFmtId="44" fontId="9" fillId="0" borderId="1" xfId="1" applyFont="1" applyFill="1" applyBorder="1" applyAlignment="1">
      <alignment horizontal="right"/>
    </xf>
    <xf numFmtId="0" fontId="0" fillId="0" borderId="4" xfId="0" applyFill="1" applyBorder="1"/>
    <xf numFmtId="0" fontId="11" fillId="0" borderId="1" xfId="0" applyFont="1" applyFill="1" applyBorder="1"/>
    <xf numFmtId="0" fontId="12" fillId="0" borderId="1" xfId="0" applyFont="1" applyFill="1" applyBorder="1"/>
    <xf numFmtId="4" fontId="12" fillId="0" borderId="1" xfId="0" applyNumberFormat="1" applyFont="1" applyFill="1" applyBorder="1"/>
    <xf numFmtId="44" fontId="9" fillId="0" borderId="1" xfId="1" applyFont="1" applyFill="1" applyBorder="1" applyAlignment="1" applyProtection="1">
      <alignment horizontal="right"/>
    </xf>
    <xf numFmtId="0" fontId="9" fillId="0" borderId="4" xfId="0" applyFont="1" applyFill="1" applyBorder="1"/>
    <xf numFmtId="165" fontId="0" fillId="0" borderId="0" xfId="1" applyNumberFormat="1" applyFont="1" applyFill="1" applyBorder="1"/>
    <xf numFmtId="0" fontId="0" fillId="0" borderId="0" xfId="0" applyFill="1" applyBorder="1" applyProtection="1">
      <protection locked="0"/>
    </xf>
    <xf numFmtId="44" fontId="13" fillId="0" borderId="5" xfId="1" applyFont="1" applyFill="1" applyBorder="1" applyAlignment="1">
      <alignment horizontal="right"/>
    </xf>
    <xf numFmtId="0" fontId="14" fillId="0" borderId="0" xfId="0" applyFont="1" applyFill="1"/>
    <xf numFmtId="44" fontId="13" fillId="0" borderId="6" xfId="0" applyNumberFormat="1" applyFont="1" applyFill="1" applyBorder="1"/>
    <xf numFmtId="166" fontId="0" fillId="0" borderId="0" xfId="0" applyNumberFormat="1" applyFill="1"/>
    <xf numFmtId="44" fontId="0" fillId="0" borderId="0" xfId="1" applyFont="1"/>
    <xf numFmtId="44" fontId="0" fillId="0" borderId="0" xfId="1" applyFont="1" applyFill="1"/>
    <xf numFmtId="44" fontId="0" fillId="0" borderId="0" xfId="0" applyNumberFormat="1" applyFill="1"/>
    <xf numFmtId="3" fontId="0" fillId="0" borderId="1" xfId="0" applyNumberFormat="1" applyFill="1" applyBorder="1"/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Protection="1">
      <protection locked="0"/>
    </xf>
    <xf numFmtId="0" fontId="0" fillId="0" borderId="4" xfId="0" applyFill="1" applyBorder="1" applyAlignment="1">
      <alignment horizontal="center" vertical="center"/>
    </xf>
    <xf numFmtId="0" fontId="17" fillId="0" borderId="11" xfId="0" applyFont="1" applyBorder="1" applyAlignment="1">
      <alignment horizontal="justify" vertical="center" wrapText="1"/>
    </xf>
    <xf numFmtId="0" fontId="19" fillId="0" borderId="12" xfId="0" applyFont="1" applyBorder="1" applyAlignment="1">
      <alignment horizontal="center" vertical="center" wrapText="1"/>
    </xf>
    <xf numFmtId="0" fontId="17" fillId="0" borderId="12" xfId="0" applyFont="1" applyBorder="1" applyAlignment="1">
      <alignment vertical="center" wrapText="1"/>
    </xf>
    <xf numFmtId="0" fontId="17" fillId="0" borderId="17" xfId="0" applyFont="1" applyBorder="1" applyAlignment="1">
      <alignment vertical="center" wrapText="1"/>
    </xf>
    <xf numFmtId="0" fontId="17" fillId="0" borderId="11" xfId="0" applyFont="1" applyBorder="1" applyAlignment="1">
      <alignment horizontal="left" vertical="center" wrapText="1"/>
    </xf>
    <xf numFmtId="0" fontId="20" fillId="0" borderId="11" xfId="0" applyFont="1" applyBorder="1" applyAlignment="1">
      <alignment horizontal="right" vertical="center" wrapText="1"/>
    </xf>
    <xf numFmtId="2" fontId="0" fillId="0" borderId="1" xfId="0" applyNumberFormat="1" applyFill="1" applyBorder="1"/>
    <xf numFmtId="2" fontId="10" fillId="0" borderId="1" xfId="0" applyNumberFormat="1" applyFont="1" applyFill="1" applyBorder="1"/>
    <xf numFmtId="2" fontId="7" fillId="0" borderId="1" xfId="0" applyNumberFormat="1" applyFont="1" applyFill="1" applyBorder="1"/>
    <xf numFmtId="2" fontId="5" fillId="0" borderId="1" xfId="0" applyNumberFormat="1" applyFont="1" applyFill="1" applyBorder="1"/>
    <xf numFmtId="168" fontId="0" fillId="0" borderId="1" xfId="5" applyNumberFormat="1" applyFont="1" applyFill="1" applyBorder="1"/>
    <xf numFmtId="0" fontId="0" fillId="0" borderId="0" xfId="0" applyProtection="1">
      <protection hidden="1"/>
    </xf>
    <xf numFmtId="0" fontId="17" fillId="0" borderId="12" xfId="0" applyFont="1" applyBorder="1" applyAlignment="1" applyProtection="1">
      <alignment horizontal="center" vertical="center" wrapText="1"/>
      <protection locked="0"/>
    </xf>
    <xf numFmtId="167" fontId="17" fillId="0" borderId="12" xfId="0" applyNumberFormat="1" applyFont="1" applyBorder="1" applyAlignment="1" applyProtection="1">
      <alignment vertical="center" wrapText="1"/>
      <protection locked="0"/>
    </xf>
    <xf numFmtId="167" fontId="17" fillId="0" borderId="17" xfId="0" applyNumberFormat="1" applyFont="1" applyBorder="1" applyAlignment="1" applyProtection="1">
      <alignment vertical="center" wrapText="1"/>
      <protection locked="0"/>
    </xf>
    <xf numFmtId="49" fontId="0" fillId="0" borderId="0" xfId="0" applyNumberFormat="1"/>
    <xf numFmtId="0" fontId="17" fillId="0" borderId="13" xfId="0" applyFont="1" applyBorder="1" applyAlignment="1">
      <alignment horizontal="left" vertical="center" wrapText="1"/>
    </xf>
    <xf numFmtId="0" fontId="17" fillId="0" borderId="13" xfId="0" applyFont="1" applyBorder="1" applyAlignment="1">
      <alignment vertical="center" wrapText="1"/>
    </xf>
    <xf numFmtId="0" fontId="17" fillId="0" borderId="6" xfId="0" applyFont="1" applyBorder="1" applyAlignment="1">
      <alignment horizontal="left" vertical="center" wrapText="1"/>
    </xf>
    <xf numFmtId="49" fontId="0" fillId="0" borderId="0" xfId="0" applyNumberFormat="1" applyFill="1"/>
    <xf numFmtId="2" fontId="0" fillId="0" borderId="0" xfId="0" applyNumberFormat="1" applyFill="1" applyAlignment="1">
      <alignment horizontal="left" vertical="center"/>
    </xf>
    <xf numFmtId="14" fontId="0" fillId="0" borderId="0" xfId="0" applyNumberFormat="1" applyFill="1"/>
    <xf numFmtId="14" fontId="0" fillId="0" borderId="0" xfId="0" applyNumberFormat="1"/>
    <xf numFmtId="14" fontId="0" fillId="0" borderId="0" xfId="0" applyNumberFormat="1" applyFill="1" applyAlignment="1">
      <alignment horizontal="right" vertical="center"/>
    </xf>
    <xf numFmtId="2" fontId="0" fillId="0" borderId="0" xfId="0" applyNumberFormat="1" applyFill="1"/>
    <xf numFmtId="169" fontId="0" fillId="0" borderId="0" xfId="0" applyNumberFormat="1" applyFill="1" applyAlignment="1">
      <alignment horizontal="right" vertical="center"/>
    </xf>
    <xf numFmtId="170" fontId="0" fillId="0" borderId="0" xfId="0" applyNumberFormat="1" applyFill="1" applyAlignment="1">
      <alignment horizontal="right" vertical="center"/>
    </xf>
    <xf numFmtId="0" fontId="0" fillId="2" borderId="0" xfId="0" applyFill="1"/>
    <xf numFmtId="0" fontId="0" fillId="3" borderId="0" xfId="0" applyFill="1"/>
    <xf numFmtId="0" fontId="0" fillId="0" borderId="19" xfId="0" applyFill="1" applyBorder="1"/>
    <xf numFmtId="0" fontId="0" fillId="0" borderId="20" xfId="0" applyFill="1" applyBorder="1"/>
    <xf numFmtId="0" fontId="0" fillId="0" borderId="21" xfId="0" applyFill="1" applyBorder="1"/>
    <xf numFmtId="0" fontId="0" fillId="0" borderId="22" xfId="0" applyFill="1" applyBorder="1"/>
    <xf numFmtId="0" fontId="0" fillId="0" borderId="23" xfId="0" applyFill="1" applyBorder="1"/>
    <xf numFmtId="0" fontId="0" fillId="0" borderId="5" xfId="0" applyFill="1" applyBorder="1"/>
    <xf numFmtId="0" fontId="0" fillId="2" borderId="24" xfId="0" applyFill="1" applyBorder="1"/>
    <xf numFmtId="0" fontId="0" fillId="0" borderId="24" xfId="0" applyFill="1" applyBorder="1"/>
    <xf numFmtId="44" fontId="0" fillId="0" borderId="24" xfId="0" applyNumberFormat="1" applyFill="1" applyBorder="1"/>
    <xf numFmtId="170" fontId="0" fillId="0" borderId="24" xfId="0" applyNumberFormat="1" applyFill="1" applyBorder="1"/>
    <xf numFmtId="14" fontId="0" fillId="0" borderId="25" xfId="0" applyNumberFormat="1" applyFill="1" applyBorder="1"/>
    <xf numFmtId="0" fontId="0" fillId="0" borderId="3" xfId="0" applyFill="1" applyBorder="1"/>
    <xf numFmtId="0" fontId="14" fillId="0" borderId="2" xfId="0" applyFont="1" applyFill="1" applyBorder="1"/>
    <xf numFmtId="0" fontId="14" fillId="0" borderId="3" xfId="0" applyFont="1" applyFill="1" applyBorder="1"/>
    <xf numFmtId="44" fontId="14" fillId="3" borderId="1" xfId="0" applyNumberFormat="1" applyFont="1" applyFill="1" applyBorder="1"/>
    <xf numFmtId="170" fontId="14" fillId="3" borderId="1" xfId="0" applyNumberFormat="1" applyFont="1" applyFill="1" applyBorder="1"/>
    <xf numFmtId="0" fontId="17" fillId="0" borderId="17" xfId="0" applyFont="1" applyBorder="1" applyAlignment="1" applyProtection="1">
      <alignment horizontal="center" vertical="center" wrapText="1"/>
      <protection locked="0"/>
    </xf>
    <xf numFmtId="0" fontId="0" fillId="0" borderId="2" xfId="0" applyFill="1" applyBorder="1" applyAlignment="1">
      <alignment horizontal="left" vertical="center"/>
    </xf>
    <xf numFmtId="0" fontId="0" fillId="0" borderId="3" xfId="0" applyFill="1" applyBorder="1" applyAlignment="1">
      <alignment horizontal="left" vertical="center"/>
    </xf>
    <xf numFmtId="0" fontId="0" fillId="0" borderId="4" xfId="0" applyFill="1" applyBorder="1" applyAlignment="1">
      <alignment horizontal="left" vertical="center"/>
    </xf>
    <xf numFmtId="0" fontId="6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6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left" vertical="center" wrapText="1"/>
    </xf>
    <xf numFmtId="0" fontId="0" fillId="0" borderId="3" xfId="0" applyFill="1" applyBorder="1" applyAlignment="1">
      <alignment horizontal="left" vertical="center" wrapText="1"/>
    </xf>
    <xf numFmtId="0" fontId="0" fillId="0" borderId="4" xfId="0" applyFill="1" applyBorder="1" applyAlignment="1">
      <alignment horizontal="left" vertical="center" wrapText="1"/>
    </xf>
    <xf numFmtId="0" fontId="0" fillId="0" borderId="0" xfId="0" applyFill="1" applyAlignment="1">
      <alignment horizontal="left"/>
    </xf>
    <xf numFmtId="0" fontId="0" fillId="0" borderId="2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0" fontId="6" fillId="0" borderId="2" xfId="0" applyFont="1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2" xfId="0" applyFill="1" applyBorder="1" applyAlignment="1">
      <alignment horizontal="left"/>
    </xf>
    <xf numFmtId="0" fontId="0" fillId="0" borderId="4" xfId="0" applyFill="1" applyBorder="1" applyAlignment="1">
      <alignment horizontal="left"/>
    </xf>
    <xf numFmtId="0" fontId="15" fillId="0" borderId="0" xfId="0" applyFont="1" applyFill="1" applyAlignment="1">
      <alignment horizontal="center"/>
    </xf>
    <xf numFmtId="0" fontId="0" fillId="0" borderId="0" xfId="0" applyFill="1" applyAlignment="1">
      <alignment horizontal="center" wrapText="1"/>
    </xf>
    <xf numFmtId="0" fontId="6" fillId="0" borderId="0" xfId="0" applyFont="1" applyFill="1" applyAlignment="1">
      <alignment horizont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3" fontId="0" fillId="0" borderId="1" xfId="0" applyNumberFormat="1" applyFill="1" applyBorder="1" applyAlignment="1">
      <alignment horizontal="center"/>
    </xf>
    <xf numFmtId="0" fontId="6" fillId="0" borderId="0" xfId="0" applyFont="1" applyFill="1" applyAlignment="1">
      <alignment horizontal="left"/>
    </xf>
    <xf numFmtId="0" fontId="0" fillId="0" borderId="0" xfId="0" applyFill="1" applyAlignment="1">
      <alignment horizontal="right"/>
    </xf>
    <xf numFmtId="0" fontId="6" fillId="0" borderId="3" xfId="0" applyFont="1" applyFill="1" applyBorder="1" applyAlignment="1">
      <alignment horizontal="center"/>
    </xf>
    <xf numFmtId="0" fontId="6" fillId="0" borderId="4" xfId="0" applyFont="1" applyFill="1" applyBorder="1" applyAlignment="1">
      <alignment horizontal="center"/>
    </xf>
    <xf numFmtId="0" fontId="8" fillId="0" borderId="0" xfId="0" applyFont="1" applyFill="1" applyAlignment="1">
      <alignment horizontal="left"/>
    </xf>
    <xf numFmtId="0" fontId="18" fillId="0" borderId="16" xfId="0" applyFont="1" applyBorder="1" applyAlignment="1" applyProtection="1">
      <alignment horizontal="center" vertical="center" wrapText="1"/>
      <protection locked="0"/>
    </xf>
    <xf numFmtId="0" fontId="18" fillId="0" borderId="17" xfId="0" applyFont="1" applyBorder="1" applyAlignment="1" applyProtection="1">
      <alignment horizontal="center" vertical="center" wrapText="1"/>
      <protection locked="0"/>
    </xf>
    <xf numFmtId="0" fontId="19" fillId="0" borderId="18" xfId="0" applyFont="1" applyBorder="1" applyAlignment="1">
      <alignment horizontal="center" vertical="center" wrapText="1"/>
    </xf>
    <xf numFmtId="0" fontId="19" fillId="0" borderId="12" xfId="0" applyFont="1" applyBorder="1" applyAlignment="1">
      <alignment horizontal="center" vertical="center" wrapText="1"/>
    </xf>
    <xf numFmtId="49" fontId="17" fillId="0" borderId="14" xfId="0" applyNumberFormat="1" applyFont="1" applyBorder="1" applyAlignment="1" applyProtection="1">
      <alignment horizontal="center" vertical="center" wrapText="1"/>
      <protection locked="0"/>
    </xf>
    <xf numFmtId="49" fontId="17" fillId="0" borderId="15" xfId="0" applyNumberFormat="1" applyFont="1" applyBorder="1" applyAlignment="1" applyProtection="1">
      <alignment horizontal="center" vertical="center" wrapText="1"/>
      <protection locked="0"/>
    </xf>
    <xf numFmtId="49" fontId="18" fillId="0" borderId="16" xfId="0" applyNumberFormat="1" applyFont="1" applyBorder="1" applyAlignment="1" applyProtection="1">
      <alignment horizontal="center" vertical="center" wrapText="1"/>
      <protection locked="0"/>
    </xf>
    <xf numFmtId="49" fontId="18" fillId="0" borderId="17" xfId="0" applyNumberFormat="1" applyFont="1" applyBorder="1" applyAlignment="1" applyProtection="1">
      <alignment horizontal="center" vertical="center" wrapText="1"/>
      <protection locked="0"/>
    </xf>
    <xf numFmtId="0" fontId="2" fillId="0" borderId="16" xfId="2" applyBorder="1" applyAlignment="1" applyProtection="1">
      <alignment horizontal="center" vertical="center" wrapText="1"/>
      <protection locked="0"/>
    </xf>
    <xf numFmtId="49" fontId="17" fillId="0" borderId="16" xfId="0" applyNumberFormat="1" applyFont="1" applyBorder="1" applyAlignment="1" applyProtection="1">
      <alignment horizontal="center" vertical="center" wrapText="1"/>
      <protection locked="0"/>
    </xf>
    <xf numFmtId="49" fontId="17" fillId="0" borderId="17" xfId="0" applyNumberFormat="1" applyFont="1" applyBorder="1" applyAlignment="1" applyProtection="1">
      <alignment horizontal="center" vertical="center" wrapText="1"/>
      <protection locked="0"/>
    </xf>
    <xf numFmtId="0" fontId="17" fillId="0" borderId="16" xfId="0" applyFont="1" applyBorder="1" applyAlignment="1" applyProtection="1">
      <alignment vertical="center" wrapText="1"/>
      <protection locked="0"/>
    </xf>
    <xf numFmtId="0" fontId="17" fillId="0" borderId="17" xfId="0" applyFont="1" applyBorder="1" applyAlignment="1" applyProtection="1">
      <alignment vertical="center" wrapText="1"/>
      <protection locked="0"/>
    </xf>
    <xf numFmtId="0" fontId="17" fillId="0" borderId="16" xfId="0" applyFont="1" applyBorder="1" applyAlignment="1" applyProtection="1">
      <alignment horizontal="center" vertical="center" wrapText="1"/>
      <protection locked="0"/>
    </xf>
    <xf numFmtId="0" fontId="17" fillId="0" borderId="17" xfId="0" applyFont="1" applyBorder="1" applyAlignment="1" applyProtection="1">
      <alignment horizontal="center" vertical="center" wrapText="1"/>
      <protection locked="0"/>
    </xf>
    <xf numFmtId="49" fontId="17" fillId="0" borderId="16" xfId="0" applyNumberFormat="1" applyFont="1" applyBorder="1" applyAlignment="1" applyProtection="1">
      <alignment vertical="center" wrapText="1"/>
      <protection locked="0"/>
    </xf>
    <xf numFmtId="49" fontId="17" fillId="0" borderId="17" xfId="0" applyNumberFormat="1" applyFont="1" applyBorder="1" applyAlignment="1" applyProtection="1">
      <alignment vertical="center" wrapText="1"/>
      <protection locked="0"/>
    </xf>
    <xf numFmtId="0" fontId="19" fillId="0" borderId="7" xfId="0" applyFont="1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19" fillId="0" borderId="9" xfId="0" applyFon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19" fillId="0" borderId="14" xfId="0" applyFont="1" applyBorder="1" applyAlignment="1">
      <alignment horizontal="center" vertical="center" wrapText="1"/>
    </xf>
    <xf numFmtId="0" fontId="0" fillId="0" borderId="15" xfId="0" applyBorder="1" applyAlignment="1">
      <alignment vertical="center" wrapText="1"/>
    </xf>
    <xf numFmtId="0" fontId="0" fillId="0" borderId="18" xfId="0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7" xfId="0" applyFont="1" applyBorder="1" applyAlignment="1">
      <alignment horizontal="center" vertical="center" wrapText="1"/>
    </xf>
    <xf numFmtId="14" fontId="17" fillId="0" borderId="16" xfId="0" applyNumberFormat="1" applyFont="1" applyBorder="1" applyAlignment="1" applyProtection="1">
      <alignment vertical="center" wrapText="1"/>
      <protection locked="0"/>
    </xf>
    <xf numFmtId="14" fontId="17" fillId="0" borderId="17" xfId="0" applyNumberFormat="1" applyFont="1" applyBorder="1" applyAlignment="1" applyProtection="1">
      <alignment vertical="center" wrapText="1"/>
      <protection locked="0"/>
    </xf>
  </cellXfs>
  <cellStyles count="6">
    <cellStyle name="Hiperłącze" xfId="2" builtinId="8"/>
    <cellStyle name="Normalny" xfId="0" builtinId="0"/>
    <cellStyle name="Normalny 2" xfId="3"/>
    <cellStyle name="Normalny 3" xfId="4"/>
    <cellStyle name="Procentowy" xfId="5" builtinId="5"/>
    <cellStyle name="Walutowy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http://www.partner.cz.pl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149088</xdr:colOff>
      <xdr:row>0</xdr:row>
      <xdr:rowOff>0</xdr:rowOff>
    </xdr:from>
    <xdr:to>
      <xdr:col>1</xdr:col>
      <xdr:colOff>712306</xdr:colOff>
      <xdr:row>0</xdr:row>
      <xdr:rowOff>687284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566" y="0"/>
          <a:ext cx="563218" cy="6872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1605933</xdr:colOff>
      <xdr:row>0</xdr:row>
      <xdr:rowOff>0</xdr:rowOff>
    </xdr:from>
    <xdr:to>
      <xdr:col>3</xdr:col>
      <xdr:colOff>265043</xdr:colOff>
      <xdr:row>0</xdr:row>
      <xdr:rowOff>681610</xdr:rowOff>
    </xdr:to>
    <xdr:pic>
      <xdr:nvPicPr>
        <xdr:cNvPr id="4" name="Obraz 3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411" y="0"/>
          <a:ext cx="5782154" cy="681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7"/>
  <sheetViews>
    <sheetView topLeftCell="A7" zoomScaleNormal="100" workbookViewId="0">
      <selection activeCell="D33" sqref="D33"/>
    </sheetView>
  </sheetViews>
  <sheetFormatPr defaultRowHeight="12.75"/>
  <cols>
    <col min="1" max="1" width="4.28515625" style="2" customWidth="1"/>
    <col min="2" max="2" width="17.140625" style="2" customWidth="1"/>
    <col min="3" max="3" width="9.140625" style="2"/>
    <col min="4" max="4" width="16.85546875" style="2" customWidth="1"/>
    <col min="5" max="6" width="9.140625" style="2"/>
    <col min="7" max="7" width="20.140625" style="2" customWidth="1"/>
    <col min="8" max="8" width="11.140625" style="2" customWidth="1"/>
    <col min="9" max="9" width="12.5703125" style="2" customWidth="1"/>
    <col min="10" max="10" width="6.42578125" style="2" customWidth="1"/>
    <col min="11" max="11" width="9.140625" style="2"/>
    <col min="12" max="12" width="3.5703125" style="2" customWidth="1"/>
    <col min="13" max="13" width="5.7109375" style="2" customWidth="1"/>
    <col min="14" max="14" width="38.140625" style="2" customWidth="1"/>
    <col min="15" max="15" width="11.42578125" style="2" bestFit="1" customWidth="1"/>
    <col min="16" max="16" width="37" style="2" customWidth="1"/>
    <col min="17" max="16384" width="9.140625" style="2"/>
  </cols>
  <sheetData>
    <row r="1" spans="1:16">
      <c r="A1" s="103" t="s">
        <v>102</v>
      </c>
      <c r="B1" s="104"/>
      <c r="C1" s="104"/>
      <c r="D1" s="104"/>
      <c r="E1" s="104"/>
      <c r="F1" s="104"/>
      <c r="G1" s="104"/>
      <c r="H1" s="104"/>
      <c r="I1" s="104"/>
      <c r="J1" s="104"/>
    </row>
    <row r="2" spans="1:16" ht="51">
      <c r="A2" s="105" t="s">
        <v>103</v>
      </c>
      <c r="B2" s="106"/>
      <c r="C2" s="106"/>
      <c r="D2" s="106"/>
      <c r="E2" s="106"/>
      <c r="F2" s="106"/>
      <c r="G2" s="106"/>
      <c r="H2" s="106"/>
      <c r="I2" s="107"/>
      <c r="J2" s="51" t="s">
        <v>183</v>
      </c>
      <c r="K2" s="51" t="s">
        <v>105</v>
      </c>
      <c r="M2" s="3"/>
      <c r="N2" s="4" t="s">
        <v>0</v>
      </c>
      <c r="O2" s="4"/>
      <c r="P2" s="4"/>
    </row>
    <row r="3" spans="1:16" ht="14.25">
      <c r="A3" s="50">
        <v>1</v>
      </c>
      <c r="B3" s="100" t="s">
        <v>106</v>
      </c>
      <c r="C3" s="101"/>
      <c r="D3" s="101"/>
      <c r="E3" s="101"/>
      <c r="F3" s="101"/>
      <c r="G3" s="101"/>
      <c r="H3" s="101"/>
      <c r="I3" s="102"/>
      <c r="J3" s="50"/>
      <c r="K3" s="52">
        <v>3</v>
      </c>
      <c r="M3" s="3" t="s">
        <v>1</v>
      </c>
      <c r="N3" s="4" t="s">
        <v>2</v>
      </c>
      <c r="O3" s="4" t="s">
        <v>3</v>
      </c>
      <c r="P3" s="4" t="s">
        <v>4</v>
      </c>
    </row>
    <row r="4" spans="1:16" ht="14.25">
      <c r="A4" s="50">
        <v>2</v>
      </c>
      <c r="B4" s="100" t="s">
        <v>107</v>
      </c>
      <c r="C4" s="101"/>
      <c r="D4" s="101"/>
      <c r="E4" s="101"/>
      <c r="F4" s="101"/>
      <c r="G4" s="101"/>
      <c r="H4" s="101"/>
      <c r="I4" s="102"/>
      <c r="J4" s="50"/>
      <c r="K4" s="52">
        <v>2</v>
      </c>
      <c r="M4" s="5">
        <v>1</v>
      </c>
      <c r="N4" s="5" t="s">
        <v>6</v>
      </c>
      <c r="O4" s="17">
        <v>12</v>
      </c>
      <c r="P4" s="5" t="s">
        <v>7</v>
      </c>
    </row>
    <row r="5" spans="1:16" ht="14.25">
      <c r="A5" s="50">
        <v>3</v>
      </c>
      <c r="B5" s="108" t="s">
        <v>108</v>
      </c>
      <c r="C5" s="109"/>
      <c r="D5" s="109"/>
      <c r="E5" s="109"/>
      <c r="F5" s="109"/>
      <c r="G5" s="109"/>
      <c r="H5" s="109"/>
      <c r="I5" s="110"/>
      <c r="J5" s="50"/>
      <c r="K5" s="52">
        <v>1</v>
      </c>
      <c r="M5" s="3">
        <v>2</v>
      </c>
      <c r="N5" s="4" t="s">
        <v>9</v>
      </c>
      <c r="O5" s="4">
        <v>75</v>
      </c>
      <c r="P5" s="4" t="s">
        <v>10</v>
      </c>
    </row>
    <row r="6" spans="1:16" ht="14.25">
      <c r="A6" s="50">
        <v>4</v>
      </c>
      <c r="B6" s="100" t="s">
        <v>109</v>
      </c>
      <c r="C6" s="101"/>
      <c r="D6" s="101"/>
      <c r="E6" s="101"/>
      <c r="F6" s="101"/>
      <c r="G6" s="101"/>
      <c r="H6" s="101"/>
      <c r="I6" s="102"/>
      <c r="J6" s="50"/>
      <c r="K6" s="52">
        <v>1</v>
      </c>
      <c r="M6" s="3">
        <v>3</v>
      </c>
      <c r="N6" s="4" t="s">
        <v>11</v>
      </c>
      <c r="O6" s="4">
        <v>35</v>
      </c>
      <c r="P6" s="4" t="s">
        <v>10</v>
      </c>
    </row>
    <row r="7" spans="1:16" ht="14.25">
      <c r="A7" s="50">
        <v>5</v>
      </c>
      <c r="B7" s="100" t="s">
        <v>110</v>
      </c>
      <c r="C7" s="101"/>
      <c r="D7" s="101"/>
      <c r="E7" s="101"/>
      <c r="F7" s="101"/>
      <c r="G7" s="101"/>
      <c r="H7" s="101"/>
      <c r="I7" s="102"/>
      <c r="J7" s="50"/>
      <c r="K7" s="52">
        <v>2</v>
      </c>
      <c r="M7" s="3">
        <v>4</v>
      </c>
      <c r="N7" s="4" t="s">
        <v>13</v>
      </c>
      <c r="O7" s="4">
        <v>0.83579999999999999</v>
      </c>
      <c r="P7" s="4" t="s">
        <v>14</v>
      </c>
    </row>
    <row r="8" spans="1:16" ht="14.25">
      <c r="A8" s="50">
        <v>6</v>
      </c>
      <c r="B8" s="108" t="s">
        <v>111</v>
      </c>
      <c r="C8" s="109"/>
      <c r="D8" s="109"/>
      <c r="E8" s="109"/>
      <c r="F8" s="109"/>
      <c r="G8" s="109"/>
      <c r="H8" s="109"/>
      <c r="I8" s="110"/>
      <c r="J8" s="50"/>
      <c r="K8" s="52">
        <v>2</v>
      </c>
      <c r="M8" s="3">
        <v>5</v>
      </c>
      <c r="N8" s="4" t="s">
        <v>15</v>
      </c>
      <c r="O8" s="60">
        <v>30</v>
      </c>
      <c r="P8" s="4" t="s">
        <v>14</v>
      </c>
    </row>
    <row r="9" spans="1:16" ht="14.25">
      <c r="A9" s="50">
        <v>7</v>
      </c>
      <c r="B9" s="100" t="s">
        <v>112</v>
      </c>
      <c r="C9" s="101"/>
      <c r="D9" s="101"/>
      <c r="E9" s="101"/>
      <c r="F9" s="101"/>
      <c r="G9" s="101"/>
      <c r="H9" s="101"/>
      <c r="I9" s="102"/>
      <c r="J9" s="50"/>
      <c r="K9" s="52">
        <v>1</v>
      </c>
      <c r="M9" s="3">
        <v>6</v>
      </c>
      <c r="N9" s="4" t="s">
        <v>16</v>
      </c>
      <c r="O9" s="62">
        <f>Kalkulacja!L30</f>
        <v>92</v>
      </c>
      <c r="P9" s="4" t="s">
        <v>17</v>
      </c>
    </row>
    <row r="10" spans="1:16" ht="14.25">
      <c r="A10" s="50">
        <v>8</v>
      </c>
      <c r="B10" s="100" t="s">
        <v>113</v>
      </c>
      <c r="C10" s="101"/>
      <c r="D10" s="101"/>
      <c r="E10" s="101"/>
      <c r="F10" s="101"/>
      <c r="G10" s="101"/>
      <c r="H10" s="101"/>
      <c r="I10" s="102"/>
      <c r="J10" s="50"/>
      <c r="K10" s="52">
        <v>1</v>
      </c>
      <c r="M10" s="5">
        <v>7</v>
      </c>
      <c r="N10" s="5" t="s">
        <v>18</v>
      </c>
      <c r="O10" s="63">
        <v>1</v>
      </c>
      <c r="P10" s="5" t="s">
        <v>10</v>
      </c>
    </row>
    <row r="11" spans="1:16" ht="14.25">
      <c r="A11" s="50">
        <v>9</v>
      </c>
      <c r="B11" s="100" t="s">
        <v>114</v>
      </c>
      <c r="C11" s="101"/>
      <c r="D11" s="101"/>
      <c r="E11" s="101"/>
      <c r="F11" s="101"/>
      <c r="G11" s="101"/>
      <c r="H11" s="101"/>
      <c r="I11" s="102"/>
      <c r="J11" s="50"/>
      <c r="K11" s="52">
        <v>1</v>
      </c>
      <c r="M11" s="3">
        <v>8</v>
      </c>
      <c r="N11" s="4" t="s">
        <v>19</v>
      </c>
      <c r="O11" s="60">
        <v>10</v>
      </c>
      <c r="P11" s="4" t="s">
        <v>10</v>
      </c>
    </row>
    <row r="12" spans="1:16" ht="14.25">
      <c r="A12" s="50">
        <v>10</v>
      </c>
      <c r="B12" s="100" t="s">
        <v>115</v>
      </c>
      <c r="C12" s="101"/>
      <c r="D12" s="101"/>
      <c r="E12" s="101"/>
      <c r="F12" s="101"/>
      <c r="G12" s="101"/>
      <c r="H12" s="101"/>
      <c r="I12" s="102"/>
      <c r="J12" s="50"/>
      <c r="K12" s="52">
        <v>2</v>
      </c>
      <c r="M12" s="3">
        <v>9</v>
      </c>
      <c r="N12" s="4" t="s">
        <v>20</v>
      </c>
      <c r="O12" s="64">
        <v>0.7</v>
      </c>
      <c r="P12" s="4" t="s">
        <v>10</v>
      </c>
    </row>
    <row r="13" spans="1:16" ht="14.25">
      <c r="A13" s="50">
        <v>11</v>
      </c>
      <c r="B13" s="100" t="s">
        <v>116</v>
      </c>
      <c r="C13" s="101"/>
      <c r="D13" s="101"/>
      <c r="E13" s="101"/>
      <c r="F13" s="101"/>
      <c r="G13" s="101"/>
      <c r="H13" s="101"/>
      <c r="I13" s="102"/>
      <c r="J13" s="50"/>
      <c r="K13" s="52">
        <v>2</v>
      </c>
      <c r="M13" s="3">
        <v>10</v>
      </c>
      <c r="N13" s="4" t="s">
        <v>21</v>
      </c>
      <c r="O13" s="60">
        <v>90</v>
      </c>
      <c r="P13" s="4" t="s">
        <v>22</v>
      </c>
    </row>
    <row r="14" spans="1:16" ht="14.25">
      <c r="A14" s="50">
        <v>12</v>
      </c>
      <c r="B14" s="100" t="s">
        <v>117</v>
      </c>
      <c r="C14" s="101"/>
      <c r="D14" s="101"/>
      <c r="E14" s="101"/>
      <c r="F14" s="101"/>
      <c r="G14" s="101"/>
      <c r="H14" s="101"/>
      <c r="I14" s="102"/>
      <c r="J14" s="50"/>
      <c r="K14" s="52">
        <v>1</v>
      </c>
      <c r="M14" s="3">
        <v>11</v>
      </c>
      <c r="N14" s="4" t="s">
        <v>24</v>
      </c>
      <c r="O14" s="64">
        <v>0.05</v>
      </c>
      <c r="P14" s="4" t="s">
        <v>25</v>
      </c>
    </row>
    <row r="15" spans="1:16" ht="14.25">
      <c r="A15" s="112" t="s">
        <v>118</v>
      </c>
      <c r="B15" s="113"/>
      <c r="C15" s="113"/>
      <c r="D15" s="113"/>
      <c r="E15" s="113"/>
      <c r="F15" s="113"/>
      <c r="G15" s="113"/>
      <c r="H15" s="113"/>
      <c r="I15" s="113"/>
      <c r="J15" s="113"/>
      <c r="K15" s="53"/>
      <c r="M15" s="3">
        <v>12</v>
      </c>
      <c r="N15" s="4" t="s">
        <v>27</v>
      </c>
      <c r="O15" s="64">
        <v>1.4999999999999999E-2</v>
      </c>
      <c r="P15" s="4" t="s">
        <v>28</v>
      </c>
    </row>
    <row r="16" spans="1:16" ht="14.25">
      <c r="A16" s="50"/>
      <c r="B16" s="114"/>
      <c r="C16" s="114"/>
      <c r="D16" s="114"/>
      <c r="E16" s="114"/>
      <c r="F16" s="114"/>
      <c r="G16" s="114"/>
      <c r="H16" s="114"/>
      <c r="I16" s="114"/>
      <c r="J16" s="50"/>
      <c r="K16" s="52"/>
      <c r="M16" s="3">
        <v>13</v>
      </c>
      <c r="N16" s="4" t="s">
        <v>30</v>
      </c>
      <c r="O16" s="64">
        <v>7.0000000000000007E-2</v>
      </c>
      <c r="P16" s="4" t="s">
        <v>10</v>
      </c>
    </row>
    <row r="17" spans="1:16" ht="14.25">
      <c r="A17" s="4"/>
      <c r="B17" s="114"/>
      <c r="C17" s="114"/>
      <c r="D17" s="114"/>
      <c r="E17" s="114"/>
      <c r="F17" s="114"/>
      <c r="G17" s="114"/>
      <c r="H17" s="114"/>
      <c r="I17" s="114"/>
      <c r="J17" s="50"/>
      <c r="K17" s="52"/>
      <c r="M17" s="3">
        <v>14</v>
      </c>
      <c r="N17" s="4" t="s">
        <v>32</v>
      </c>
      <c r="O17" s="60">
        <f>O12*O9</f>
        <v>64.399999999999991</v>
      </c>
      <c r="P17" s="4" t="s">
        <v>33</v>
      </c>
    </row>
    <row r="18" spans="1:16" ht="14.25">
      <c r="A18" s="4"/>
      <c r="B18" s="114"/>
      <c r="C18" s="114"/>
      <c r="D18" s="114"/>
      <c r="E18" s="114"/>
      <c r="F18" s="114"/>
      <c r="G18" s="114"/>
      <c r="H18" s="114"/>
      <c r="I18" s="114"/>
      <c r="J18" s="50"/>
      <c r="K18" s="52"/>
      <c r="M18" s="5">
        <v>15</v>
      </c>
      <c r="N18" s="5" t="s">
        <v>35</v>
      </c>
      <c r="O18" s="63">
        <f>ROUND(O17/O11,1)</f>
        <v>6.4</v>
      </c>
      <c r="P18" s="5" t="s">
        <v>33</v>
      </c>
    </row>
    <row r="19" spans="1:16" ht="14.25">
      <c r="A19" s="115" t="s">
        <v>119</v>
      </c>
      <c r="B19" s="116"/>
      <c r="C19" s="116"/>
      <c r="D19" s="116"/>
      <c r="E19" s="116"/>
      <c r="F19" s="116"/>
      <c r="G19" s="116"/>
      <c r="H19" s="116"/>
      <c r="I19" s="116"/>
      <c r="J19" s="117"/>
      <c r="K19" s="4">
        <f>SUM(K3:K14)+SUM(K16:K18)</f>
        <v>19</v>
      </c>
      <c r="M19" s="3">
        <v>16</v>
      </c>
      <c r="N19" s="4" t="s">
        <v>37</v>
      </c>
      <c r="O19" s="4">
        <f>ROUND(O18/O10,)</f>
        <v>6</v>
      </c>
      <c r="P19" s="4" t="s">
        <v>33</v>
      </c>
    </row>
    <row r="20" spans="1:16" ht="14.25">
      <c r="I20" s="118" t="s">
        <v>120</v>
      </c>
      <c r="J20" s="118"/>
      <c r="K20" s="4">
        <f>COUNTIF(K3:K18,"&gt;=1")</f>
        <v>12</v>
      </c>
      <c r="M20" s="3">
        <v>17</v>
      </c>
      <c r="N20" s="4" t="s">
        <v>38</v>
      </c>
      <c r="O20" s="4">
        <f>ROUNDDOWN(O19/5,0)</f>
        <v>1</v>
      </c>
      <c r="P20" s="4" t="s">
        <v>33</v>
      </c>
    </row>
    <row r="21" spans="1:16" ht="14.25">
      <c r="A21" s="104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M21" s="3">
        <v>18</v>
      </c>
      <c r="N21" s="4" t="s">
        <v>39</v>
      </c>
      <c r="O21" s="4">
        <f>MOD(O19,5)</f>
        <v>1</v>
      </c>
      <c r="P21" s="4" t="s">
        <v>33</v>
      </c>
    </row>
    <row r="22" spans="1:16" ht="14.25">
      <c r="E22" s="111" t="s">
        <v>122</v>
      </c>
      <c r="F22" s="111"/>
      <c r="G22" s="111"/>
      <c r="H22" s="111"/>
      <c r="I22" s="111"/>
      <c r="J22" s="111"/>
      <c r="M22" s="3">
        <v>19</v>
      </c>
      <c r="N22" s="4" t="s">
        <v>43</v>
      </c>
      <c r="O22" s="4">
        <f>IF(O5&lt;O4,(O20*4+(O21-1))*O10,0)</f>
        <v>0</v>
      </c>
      <c r="P22" s="4" t="s">
        <v>33</v>
      </c>
    </row>
    <row r="23" spans="1:16" ht="14.25">
      <c r="E23" s="111" t="s">
        <v>123</v>
      </c>
      <c r="F23" s="111"/>
      <c r="G23" s="111"/>
      <c r="H23" s="111"/>
      <c r="I23" s="111"/>
      <c r="J23" s="111"/>
      <c r="M23" s="3">
        <v>20</v>
      </c>
      <c r="N23" s="4" t="s">
        <v>46</v>
      </c>
      <c r="O23" s="4">
        <f>IF(O21&lt;&gt;0,1,0)+O20</f>
        <v>2</v>
      </c>
      <c r="P23" s="4" t="s">
        <v>33</v>
      </c>
    </row>
    <row r="24" spans="1:16" ht="14.25">
      <c r="E24" s="111" t="s">
        <v>124</v>
      </c>
      <c r="F24" s="111"/>
      <c r="G24" s="111"/>
      <c r="H24" s="111"/>
      <c r="I24" s="111"/>
      <c r="J24" s="111"/>
      <c r="M24" s="3">
        <v>21</v>
      </c>
      <c r="N24" s="4" t="s">
        <v>49</v>
      </c>
      <c r="O24" s="4">
        <f>IF(O4&gt;O5,1,0)</f>
        <v>0</v>
      </c>
      <c r="P24" s="4" t="s">
        <v>33</v>
      </c>
    </row>
    <row r="25" spans="1:16" ht="14.25">
      <c r="M25" s="5">
        <v>22</v>
      </c>
      <c r="N25" s="5" t="s">
        <v>51</v>
      </c>
      <c r="O25" s="5">
        <f>IF(O24=1,O20+1,ROUND(O18,0))</f>
        <v>6</v>
      </c>
      <c r="P25" s="5" t="s">
        <v>33</v>
      </c>
    </row>
    <row r="26" spans="1:16" ht="14.25">
      <c r="C26" s="119" t="s">
        <v>125</v>
      </c>
      <c r="D26" s="116"/>
      <c r="E26" s="116"/>
      <c r="F26" s="116"/>
      <c r="G26" s="116"/>
      <c r="H26" s="116"/>
      <c r="I26" s="94" t="s">
        <v>126</v>
      </c>
      <c r="J26" s="4">
        <f>K19/K20</f>
        <v>1.5833333333333333</v>
      </c>
      <c r="M26" s="3">
        <v>23</v>
      </c>
      <c r="N26" s="4" t="s">
        <v>55</v>
      </c>
      <c r="O26" s="23">
        <f>O25*O7*O4*2</f>
        <v>120.3552</v>
      </c>
      <c r="P26" s="4" t="s">
        <v>33</v>
      </c>
    </row>
    <row r="27" spans="1:16" ht="14.25">
      <c r="M27" s="3">
        <v>24</v>
      </c>
      <c r="N27" s="4" t="s">
        <v>56</v>
      </c>
      <c r="O27" s="23">
        <f>IF(O24=1,O22*O13,0)</f>
        <v>0</v>
      </c>
      <c r="P27" s="4" t="s">
        <v>33</v>
      </c>
    </row>
    <row r="28" spans="1:16" ht="14.25">
      <c r="C28" s="118" t="str">
        <f>IF(J26&lt;1,"WARUNEK NIE SPEŁNIONY",IF(J26&lt;=1.5,"RYZYKO NISKIE",IF(J26&lt;=2.5,"RYZYKO ŚREDNIE","RYZYKO WYSOKIE")))</f>
        <v>RYZYKO ŚREDNIE</v>
      </c>
      <c r="D28" s="118"/>
      <c r="E28" s="118"/>
      <c r="M28" s="3">
        <v>25</v>
      </c>
      <c r="N28" s="4" t="s">
        <v>58</v>
      </c>
      <c r="O28" s="23">
        <f>IF(O4&gt;O6,((ROUND(O18,0))*O8),0)</f>
        <v>0</v>
      </c>
      <c r="P28" s="4" t="s">
        <v>33</v>
      </c>
    </row>
    <row r="29" spans="1:16" ht="15">
      <c r="M29" s="3">
        <v>26</v>
      </c>
      <c r="N29" s="25" t="s">
        <v>59</v>
      </c>
      <c r="O29" s="26">
        <f>O28+O27+O26</f>
        <v>120.3552</v>
      </c>
      <c r="P29" s="4" t="s">
        <v>33</v>
      </c>
    </row>
    <row r="30" spans="1:16" ht="14.25">
      <c r="B30" s="120" t="s">
        <v>70</v>
      </c>
      <c r="C30" s="121"/>
      <c r="D30" s="30">
        <f>INT(O9/O10/O11)</f>
        <v>9</v>
      </c>
      <c r="M30" s="3">
        <v>27</v>
      </c>
      <c r="N30" s="4" t="s">
        <v>61</v>
      </c>
      <c r="O30" s="23">
        <f>Kalkulacja!J33</f>
        <v>8740</v>
      </c>
      <c r="P30" s="4" t="s">
        <v>62</v>
      </c>
    </row>
    <row r="31" spans="1:16" ht="14.25">
      <c r="B31" s="120" t="s">
        <v>73</v>
      </c>
      <c r="C31" s="121"/>
      <c r="D31" s="4">
        <f>INT(D30*2/3)</f>
        <v>6</v>
      </c>
      <c r="M31" s="3">
        <v>28</v>
      </c>
      <c r="N31" s="4" t="s">
        <v>64</v>
      </c>
      <c r="O31" s="23">
        <f>O30+O29</f>
        <v>8860.3552</v>
      </c>
      <c r="P31" s="4" t="s">
        <v>33</v>
      </c>
    </row>
    <row r="32" spans="1:16" ht="14.25">
      <c r="M32" s="3">
        <v>29</v>
      </c>
      <c r="N32" s="4" t="s">
        <v>68</v>
      </c>
      <c r="O32" s="60">
        <f>O14*O31</f>
        <v>443.01776000000001</v>
      </c>
      <c r="P32" s="4" t="s">
        <v>33</v>
      </c>
    </row>
    <row r="33" spans="1:16" ht="14.25">
      <c r="A33" s="83" t="s">
        <v>211</v>
      </c>
      <c r="B33" s="84"/>
      <c r="C33" s="84"/>
      <c r="D33" s="88">
        <f>Kalkulacja!L30</f>
        <v>92</v>
      </c>
      <c r="M33" s="3">
        <v>30</v>
      </c>
      <c r="N33" s="4" t="s">
        <v>71</v>
      </c>
      <c r="O33" s="60">
        <f>O15*O31</f>
        <v>132.905328</v>
      </c>
      <c r="P33" s="4" t="s">
        <v>33</v>
      </c>
    </row>
    <row r="34" spans="1:16" ht="14.25">
      <c r="A34" s="85" t="s">
        <v>209</v>
      </c>
      <c r="B34" s="12"/>
      <c r="C34" s="12"/>
      <c r="D34" s="89">
        <v>95</v>
      </c>
      <c r="M34" s="3">
        <v>31</v>
      </c>
      <c r="N34" s="4" t="s">
        <v>74</v>
      </c>
      <c r="O34" s="4">
        <f>O16*O30</f>
        <v>611.80000000000007</v>
      </c>
      <c r="P34" s="4" t="s">
        <v>33</v>
      </c>
    </row>
    <row r="35" spans="1:16" ht="15">
      <c r="A35" s="85" t="s">
        <v>210</v>
      </c>
      <c r="B35" s="12"/>
      <c r="C35" s="12"/>
      <c r="D35" s="90">
        <f>D34/2</f>
        <v>47.5</v>
      </c>
      <c r="M35" s="3">
        <v>32</v>
      </c>
      <c r="N35" s="25" t="s">
        <v>76</v>
      </c>
      <c r="O35" s="61">
        <f>O34+O33+O32</f>
        <v>1187.723088</v>
      </c>
      <c r="P35" s="25" t="s">
        <v>33</v>
      </c>
    </row>
    <row r="36" spans="1:16" ht="15.75">
      <c r="A36" s="85" t="s">
        <v>206</v>
      </c>
      <c r="B36" s="12"/>
      <c r="C36" s="12"/>
      <c r="D36" s="91">
        <f>Kalkulacja!J33</f>
        <v>8740</v>
      </c>
      <c r="M36" s="35">
        <v>33</v>
      </c>
      <c r="N36" s="36" t="s">
        <v>79</v>
      </c>
      <c r="O36" s="37">
        <f>O35+O31</f>
        <v>10048.078288000001</v>
      </c>
      <c r="P36" s="36" t="s">
        <v>33</v>
      </c>
    </row>
    <row r="37" spans="1:16">
      <c r="A37" s="85" t="s">
        <v>207</v>
      </c>
      <c r="B37" s="12"/>
      <c r="C37" s="12"/>
      <c r="D37" s="91">
        <f>Kalkulacja!J35</f>
        <v>732.15520000000004</v>
      </c>
    </row>
    <row r="38" spans="1:16">
      <c r="A38" s="85" t="s">
        <v>208</v>
      </c>
      <c r="B38" s="12"/>
      <c r="C38" s="12"/>
      <c r="D38" s="91">
        <f>Kalkulacja!J41</f>
        <v>9472.1551999999992</v>
      </c>
    </row>
    <row r="39" spans="1:16">
      <c r="A39" s="85" t="s">
        <v>203</v>
      </c>
      <c r="B39" s="12"/>
      <c r="C39" s="12"/>
      <c r="D39" s="91">
        <f>Kalkulacja!E50</f>
        <v>9900</v>
      </c>
    </row>
    <row r="40" spans="1:16">
      <c r="A40" s="95" t="s">
        <v>204</v>
      </c>
      <c r="B40" s="96"/>
      <c r="C40" s="96"/>
      <c r="D40" s="97">
        <f>D39</f>
        <v>9900</v>
      </c>
    </row>
    <row r="41" spans="1:16">
      <c r="A41" s="85" t="s">
        <v>205</v>
      </c>
      <c r="B41" s="12"/>
      <c r="C41" s="12"/>
      <c r="D41" s="91">
        <f>D40*1.23</f>
        <v>12177</v>
      </c>
    </row>
    <row r="42" spans="1:16">
      <c r="A42" s="85" t="s">
        <v>200</v>
      </c>
      <c r="B42" s="12"/>
      <c r="C42" s="12"/>
      <c r="D42" s="92">
        <f>Kalkulacja!E54</f>
        <v>0</v>
      </c>
    </row>
    <row r="43" spans="1:16">
      <c r="A43" s="95" t="s">
        <v>93</v>
      </c>
      <c r="B43" s="96"/>
      <c r="C43" s="96"/>
      <c r="D43" s="98">
        <f>'KARTA INFORMACYJNA'!C48</f>
        <v>0</v>
      </c>
    </row>
    <row r="44" spans="1:16">
      <c r="A44" s="86" t="s">
        <v>199</v>
      </c>
      <c r="B44" s="87"/>
      <c r="C44" s="87"/>
      <c r="D44" s="93">
        <f>Kalkulacja!E56</f>
        <v>0</v>
      </c>
      <c r="H44" s="2" t="s">
        <v>214</v>
      </c>
    </row>
    <row r="45" spans="1:16">
      <c r="A45" s="73"/>
    </row>
    <row r="46" spans="1:16">
      <c r="A46" s="81"/>
      <c r="B46" s="2" t="s">
        <v>213</v>
      </c>
    </row>
    <row r="47" spans="1:16">
      <c r="A47" s="82"/>
      <c r="B47" s="2" t="s">
        <v>212</v>
      </c>
    </row>
  </sheetData>
  <mergeCells count="28">
    <mergeCell ref="E24:J24"/>
    <mergeCell ref="C26:H26"/>
    <mergeCell ref="C28:E28"/>
    <mergeCell ref="B30:C30"/>
    <mergeCell ref="B31:C31"/>
    <mergeCell ref="E23:J23"/>
    <mergeCell ref="B12:I12"/>
    <mergeCell ref="B13:I13"/>
    <mergeCell ref="B14:I14"/>
    <mergeCell ref="A15:J15"/>
    <mergeCell ref="B16:I16"/>
    <mergeCell ref="B17:I17"/>
    <mergeCell ref="B18:I18"/>
    <mergeCell ref="A19:J19"/>
    <mergeCell ref="I20:J20"/>
    <mergeCell ref="A21:K21"/>
    <mergeCell ref="E22:J22"/>
    <mergeCell ref="B11:I11"/>
    <mergeCell ref="A1:J1"/>
    <mergeCell ref="A2:I2"/>
    <mergeCell ref="B3:I3"/>
    <mergeCell ref="B4:I4"/>
    <mergeCell ref="B5:I5"/>
    <mergeCell ref="B6:I6"/>
    <mergeCell ref="B7:I7"/>
    <mergeCell ref="B8:I8"/>
    <mergeCell ref="B9:I9"/>
    <mergeCell ref="B10:I10"/>
  </mergeCells>
  <dataValidations disablePrompts="1" count="1">
    <dataValidation type="list" allowBlank="1" showInputMessage="1" showErrorMessage="1" sqref="J3:J14 J16:J18">
      <formula1>"TAK, NIE"</formula1>
    </dataValidation>
  </dataValidations>
  <pageMargins left="0.59055118110236227" right="0.31496062992125984" top="0.43307086614173229" bottom="0.35433070866141736" header="0.31496062992125984" footer="0.31496062992125984"/>
  <pageSetup paperSize="9" scale="7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21"/>
  <sheetViews>
    <sheetView topLeftCell="A55" zoomScaleNormal="100" workbookViewId="0">
      <selection activeCell="N104" sqref="N104"/>
    </sheetView>
  </sheetViews>
  <sheetFormatPr defaultRowHeight="12.75"/>
  <cols>
    <col min="1" max="1" width="17.140625" style="2" customWidth="1"/>
    <col min="2" max="2" width="11" style="2" customWidth="1"/>
    <col min="3" max="3" width="11.140625" style="2" bestFit="1" customWidth="1"/>
    <col min="4" max="4" width="9.140625" style="2"/>
    <col min="5" max="5" width="18.28515625" style="2" customWidth="1"/>
    <col min="6" max="6" width="9.140625" style="2"/>
    <col min="7" max="7" width="11.42578125" style="2" customWidth="1"/>
    <col min="8" max="8" width="18.5703125" style="2" bestFit="1" customWidth="1"/>
    <col min="9" max="9" width="9.140625" style="2"/>
    <col min="10" max="10" width="20.140625" style="2" customWidth="1"/>
    <col min="11" max="11" width="11.140625" style="2" customWidth="1"/>
    <col min="12" max="12" width="12.85546875" style="2" customWidth="1"/>
    <col min="13" max="13" width="18" style="2" customWidth="1"/>
    <col min="14" max="14" width="9.140625" style="2"/>
    <col min="15" max="15" width="0" style="2" hidden="1" customWidth="1"/>
    <col min="16" max="16" width="5.7109375" style="2" hidden="1" customWidth="1"/>
    <col min="17" max="17" width="42.140625" style="2" hidden="1" customWidth="1"/>
    <col min="18" max="18" width="11.42578125" style="2" hidden="1" customWidth="1"/>
    <col min="19" max="19" width="37" style="2" hidden="1" customWidth="1"/>
    <col min="20" max="16384" width="9.140625" style="2"/>
  </cols>
  <sheetData>
    <row r="1" spans="1:19" ht="14.25">
      <c r="A1" s="1" t="s">
        <v>186</v>
      </c>
      <c r="P1" s="3"/>
      <c r="Q1" s="4" t="s">
        <v>0</v>
      </c>
      <c r="R1" s="4"/>
      <c r="S1" s="4"/>
    </row>
    <row r="2" spans="1:19" ht="14.25">
      <c r="A2" s="1" t="s">
        <v>187</v>
      </c>
      <c r="P2" s="3" t="s">
        <v>1</v>
      </c>
      <c r="Q2" s="4" t="s">
        <v>2</v>
      </c>
      <c r="R2" s="4" t="s">
        <v>3</v>
      </c>
      <c r="S2" s="4" t="s">
        <v>4</v>
      </c>
    </row>
    <row r="3" spans="1:19" ht="14.25">
      <c r="F3" s="104" t="s">
        <v>5</v>
      </c>
      <c r="G3" s="104"/>
      <c r="H3" s="104"/>
      <c r="I3" s="104"/>
      <c r="J3" s="104"/>
      <c r="K3" s="104"/>
      <c r="L3" s="104"/>
      <c r="P3" s="5">
        <v>1</v>
      </c>
      <c r="Q3" s="5" t="s">
        <v>6</v>
      </c>
      <c r="R3" s="5">
        <v>12</v>
      </c>
      <c r="S3" s="5" t="s">
        <v>7</v>
      </c>
    </row>
    <row r="4" spans="1:19" ht="14.25">
      <c r="F4" s="104" t="s">
        <v>8</v>
      </c>
      <c r="G4" s="104"/>
      <c r="H4" s="104"/>
      <c r="I4" s="104"/>
      <c r="J4" s="104"/>
      <c r="K4" s="104"/>
      <c r="L4" s="104"/>
      <c r="P4" s="3">
        <v>2</v>
      </c>
      <c r="Q4" s="4" t="s">
        <v>9</v>
      </c>
      <c r="R4" s="4">
        <v>75</v>
      </c>
      <c r="S4" s="4" t="s">
        <v>10</v>
      </c>
    </row>
    <row r="5" spans="1:19" ht="14.25">
      <c r="P5" s="3">
        <v>3</v>
      </c>
      <c r="Q5" s="4" t="s">
        <v>11</v>
      </c>
      <c r="R5" s="4">
        <v>35</v>
      </c>
      <c r="S5" s="4" t="s">
        <v>10</v>
      </c>
    </row>
    <row r="6" spans="1:19" ht="14.25">
      <c r="A6" s="111" t="s">
        <v>12</v>
      </c>
      <c r="B6" s="111"/>
      <c r="C6" s="111"/>
      <c r="D6" s="111"/>
      <c r="E6" s="111"/>
      <c r="P6" s="3">
        <v>4</v>
      </c>
      <c r="Q6" s="4" t="s">
        <v>13</v>
      </c>
      <c r="R6" s="4">
        <v>0.83579999999999999</v>
      </c>
      <c r="S6" s="4" t="s">
        <v>14</v>
      </c>
    </row>
    <row r="7" spans="1:19" ht="14.25">
      <c r="A7" s="73"/>
      <c r="P7" s="3">
        <v>5</v>
      </c>
      <c r="Q7" s="4" t="s">
        <v>15</v>
      </c>
      <c r="R7" s="4">
        <v>30</v>
      </c>
      <c r="S7" s="4" t="s">
        <v>14</v>
      </c>
    </row>
    <row r="8" spans="1:19" ht="14.25">
      <c r="A8" s="74">
        <f>'KARTA INFORMACYJNA'!E5</f>
        <v>0</v>
      </c>
      <c r="B8" s="9"/>
      <c r="C8" s="9"/>
      <c r="D8" s="9"/>
      <c r="E8" s="9"/>
      <c r="F8" s="9"/>
      <c r="G8" s="9"/>
      <c r="H8" s="9"/>
      <c r="I8" s="7"/>
      <c r="J8" s="7"/>
      <c r="K8" s="7"/>
      <c r="L8" s="7"/>
      <c r="M8" s="7"/>
      <c r="N8" s="7"/>
      <c r="O8" s="7"/>
      <c r="P8" s="3">
        <v>6</v>
      </c>
      <c r="Q8" s="4" t="s">
        <v>16</v>
      </c>
      <c r="R8" s="8">
        <f>G33</f>
        <v>92</v>
      </c>
      <c r="S8" s="4" t="s">
        <v>17</v>
      </c>
    </row>
    <row r="9" spans="1:19" ht="14.25">
      <c r="A9" s="9"/>
      <c r="B9" s="9"/>
      <c r="C9" s="9"/>
      <c r="D9" s="9"/>
      <c r="P9" s="5">
        <v>7</v>
      </c>
      <c r="Q9" s="5" t="s">
        <v>18</v>
      </c>
      <c r="R9" s="5">
        <v>1</v>
      </c>
      <c r="S9" s="5" t="s">
        <v>10</v>
      </c>
    </row>
    <row r="10" spans="1:19" ht="14.25">
      <c r="A10" s="6" t="s">
        <v>188</v>
      </c>
      <c r="B10" s="6" t="s">
        <v>189</v>
      </c>
      <c r="C10" s="6"/>
      <c r="D10" s="6"/>
      <c r="E10" s="6"/>
      <c r="F10" s="6"/>
      <c r="P10" s="3">
        <v>8</v>
      </c>
      <c r="Q10" s="4" t="s">
        <v>19</v>
      </c>
      <c r="R10" s="4">
        <v>10</v>
      </c>
      <c r="S10" s="4" t="s">
        <v>10</v>
      </c>
    </row>
    <row r="11" spans="1:19" ht="14.25">
      <c r="A11" s="2" t="s">
        <v>190</v>
      </c>
      <c r="B11" s="2">
        <v>11130</v>
      </c>
      <c r="P11" s="3">
        <v>9</v>
      </c>
      <c r="Q11" s="4" t="s">
        <v>20</v>
      </c>
      <c r="R11" s="10">
        <v>0.75</v>
      </c>
      <c r="S11" s="4" t="s">
        <v>10</v>
      </c>
    </row>
    <row r="12" spans="1:19" ht="14.25">
      <c r="P12" s="3">
        <v>10</v>
      </c>
      <c r="Q12" s="4" t="s">
        <v>21</v>
      </c>
      <c r="R12" s="4">
        <v>90</v>
      </c>
      <c r="S12" s="4" t="s">
        <v>22</v>
      </c>
    </row>
    <row r="13" spans="1:19" ht="14.25">
      <c r="E13" s="128" t="s">
        <v>23</v>
      </c>
      <c r="F13" s="128"/>
      <c r="G13" s="128"/>
      <c r="H13" s="128"/>
      <c r="I13" s="128"/>
      <c r="J13" s="128"/>
      <c r="M13" s="11"/>
      <c r="N13" s="12"/>
      <c r="P13" s="3">
        <v>11</v>
      </c>
      <c r="Q13" s="4" t="s">
        <v>24</v>
      </c>
      <c r="R13" s="10">
        <v>0.05</v>
      </c>
      <c r="S13" s="4" t="s">
        <v>25</v>
      </c>
    </row>
    <row r="14" spans="1:19" ht="14.25">
      <c r="E14" s="132" t="s">
        <v>26</v>
      </c>
      <c r="F14" s="132"/>
      <c r="G14" s="132"/>
      <c r="H14" s="132"/>
      <c r="I14" s="132"/>
      <c r="J14" s="132"/>
      <c r="K14" s="132"/>
      <c r="L14" s="132"/>
      <c r="M14" s="13">
        <f>SUM(M15:M18)</f>
        <v>0</v>
      </c>
      <c r="N14" s="14"/>
      <c r="P14" s="3">
        <v>12</v>
      </c>
      <c r="Q14" s="4" t="s">
        <v>27</v>
      </c>
      <c r="R14" s="10">
        <v>0.02</v>
      </c>
      <c r="S14" s="4" t="s">
        <v>28</v>
      </c>
    </row>
    <row r="15" spans="1:19" ht="14.25">
      <c r="F15" s="111" t="s">
        <v>29</v>
      </c>
      <c r="G15" s="111"/>
      <c r="H15" s="111"/>
      <c r="I15" s="111"/>
      <c r="J15" s="111"/>
      <c r="K15" s="111"/>
      <c r="L15" s="111"/>
      <c r="M15" s="15">
        <f>IF('KARTA INFORMACYJNA'!$D$20&gt;'KARTA INFORMACYJNA'!$C$20,'KARTA INFORMACYJNA'!D20,'KARTA INFORMACYJNA'!C20)*1000</f>
        <v>0</v>
      </c>
      <c r="N15" s="16"/>
      <c r="P15" s="3">
        <v>13</v>
      </c>
      <c r="Q15" s="4" t="s">
        <v>30</v>
      </c>
      <c r="R15" s="10">
        <v>7.0000000000000007E-2</v>
      </c>
      <c r="S15" s="4" t="s">
        <v>10</v>
      </c>
    </row>
    <row r="16" spans="1:19" ht="14.25">
      <c r="F16" s="111" t="s">
        <v>31</v>
      </c>
      <c r="G16" s="111"/>
      <c r="H16" s="111"/>
      <c r="I16" s="111"/>
      <c r="J16" s="111"/>
      <c r="K16" s="111"/>
      <c r="L16" s="111"/>
      <c r="M16" s="15">
        <f>IF('KARTA INFORMACYJNA'!$D$20&gt;'KARTA INFORMACYJNA'!$C$20,'KARTA INFORMACYJNA'!D21,'KARTA INFORMACYJNA'!C21)*1000</f>
        <v>0</v>
      </c>
      <c r="N16" s="16"/>
      <c r="P16" s="3">
        <v>14</v>
      </c>
      <c r="Q16" s="4" t="s">
        <v>32</v>
      </c>
      <c r="R16" s="4">
        <f>R11*R8</f>
        <v>69</v>
      </c>
      <c r="S16" s="4" t="s">
        <v>33</v>
      </c>
    </row>
    <row r="17" spans="1:19" ht="14.25">
      <c r="F17" s="111" t="s">
        <v>34</v>
      </c>
      <c r="G17" s="111"/>
      <c r="H17" s="111"/>
      <c r="I17" s="111"/>
      <c r="J17" s="111"/>
      <c r="K17" s="111"/>
      <c r="L17" s="111"/>
      <c r="M17" s="15">
        <f>IF('KARTA INFORMACYJNA'!$D$20&gt;'KARTA INFORMACYJNA'!$C$20,'KARTA INFORMACYJNA'!D22,'KARTA INFORMACYJNA'!C22)*1000</f>
        <v>0</v>
      </c>
      <c r="N17" s="16"/>
      <c r="P17" s="5">
        <v>15</v>
      </c>
      <c r="Q17" s="5" t="s">
        <v>35</v>
      </c>
      <c r="R17" s="17">
        <f>ROUND(R16/R10,1)</f>
        <v>6.9</v>
      </c>
      <c r="S17" s="5" t="s">
        <v>33</v>
      </c>
    </row>
    <row r="18" spans="1:19" ht="14.25">
      <c r="F18" s="111" t="s">
        <v>36</v>
      </c>
      <c r="G18" s="111"/>
      <c r="H18" s="111"/>
      <c r="I18" s="111"/>
      <c r="J18" s="111"/>
      <c r="K18" s="111"/>
      <c r="L18" s="111"/>
      <c r="M18" s="15">
        <f>IF('KARTA INFORMACYJNA'!$D$20&gt;'KARTA INFORMACYJNA'!$C$20,'KARTA INFORMACYJNA'!D28,'KARTA INFORMACYJNA'!C28)*1000</f>
        <v>0</v>
      </c>
      <c r="N18" s="16"/>
      <c r="P18" s="3">
        <v>16</v>
      </c>
      <c r="Q18" s="4" t="s">
        <v>37</v>
      </c>
      <c r="R18" s="4">
        <f>ROUND(R17/R9,)</f>
        <v>7</v>
      </c>
      <c r="S18" s="4" t="s">
        <v>33</v>
      </c>
    </row>
    <row r="19" spans="1:19" ht="14.25">
      <c r="N19" s="12"/>
      <c r="P19" s="3">
        <v>17</v>
      </c>
      <c r="Q19" s="4" t="s">
        <v>38</v>
      </c>
      <c r="R19" s="4">
        <f>ROUNDDOWN(R18/5,0)</f>
        <v>1</v>
      </c>
      <c r="S19" s="4" t="s">
        <v>33</v>
      </c>
    </row>
    <row r="20" spans="1:19" ht="14.25">
      <c r="P20" s="3">
        <v>18</v>
      </c>
      <c r="Q20" s="4" t="s">
        <v>39</v>
      </c>
      <c r="R20" s="4">
        <f>MOD(R18,5)</f>
        <v>2</v>
      </c>
      <c r="S20" s="4" t="s">
        <v>33</v>
      </c>
    </row>
    <row r="21" spans="1:19" ht="14.25">
      <c r="A21" s="111" t="s">
        <v>40</v>
      </c>
      <c r="B21" s="111"/>
      <c r="C21" s="111"/>
      <c r="D21" s="111"/>
      <c r="E21" s="111"/>
      <c r="F21" s="111"/>
      <c r="G21" s="111"/>
      <c r="H21" s="111"/>
      <c r="I21" s="111"/>
      <c r="J21" s="18" t="s">
        <v>41</v>
      </c>
      <c r="K21" s="19">
        <v>2015</v>
      </c>
      <c r="L21" s="129" t="s">
        <v>42</v>
      </c>
      <c r="M21" s="129"/>
      <c r="N21" s="19">
        <v>2015</v>
      </c>
      <c r="P21" s="3">
        <v>19</v>
      </c>
      <c r="Q21" s="4" t="s">
        <v>43</v>
      </c>
      <c r="R21" s="4">
        <f>(R19*4+(R20-1))*R9</f>
        <v>5</v>
      </c>
      <c r="S21" s="4" t="s">
        <v>33</v>
      </c>
    </row>
    <row r="22" spans="1:19" ht="14.25">
      <c r="A22" s="111" t="s">
        <v>44</v>
      </c>
      <c r="B22" s="111"/>
      <c r="C22" s="111"/>
      <c r="D22" s="111"/>
      <c r="E22" s="111"/>
      <c r="F22" s="111"/>
      <c r="G22" s="111"/>
      <c r="H22" s="111"/>
      <c r="I22" s="111"/>
      <c r="J22" s="111"/>
      <c r="K22" s="111"/>
      <c r="L22" s="20" t="s">
        <v>45</v>
      </c>
      <c r="P22" s="3">
        <v>20</v>
      </c>
      <c r="Q22" s="4" t="s">
        <v>46</v>
      </c>
      <c r="R22" s="4">
        <f>IF(R20&lt;&gt;0,1,0)+R19</f>
        <v>2</v>
      </c>
      <c r="S22" s="4" t="s">
        <v>33</v>
      </c>
    </row>
    <row r="23" spans="1:19" ht="14.25">
      <c r="J23" s="2" t="s">
        <v>47</v>
      </c>
      <c r="K23" s="21">
        <f>DanePomocnicze!D34</f>
        <v>95</v>
      </c>
      <c r="L23" s="2" t="s">
        <v>48</v>
      </c>
      <c r="P23" s="3">
        <v>21</v>
      </c>
      <c r="Q23" s="4" t="s">
        <v>49</v>
      </c>
      <c r="R23" s="4">
        <f>IF(R3&gt;R4,1,0)</f>
        <v>0</v>
      </c>
      <c r="S23" s="4" t="s">
        <v>33</v>
      </c>
    </row>
    <row r="24" spans="1:19" ht="14.25">
      <c r="J24" s="2" t="s">
        <v>50</v>
      </c>
      <c r="K24" s="21">
        <f>DanePomocnicze!D35</f>
        <v>47.5</v>
      </c>
      <c r="P24" s="5">
        <v>22</v>
      </c>
      <c r="Q24" s="5" t="s">
        <v>51</v>
      </c>
      <c r="R24" s="5">
        <f>IF(R23=1,R19+1,ROUND(R17,0))</f>
        <v>7</v>
      </c>
      <c r="S24" s="5" t="s">
        <v>33</v>
      </c>
    </row>
    <row r="25" spans="1:19" ht="14.25">
      <c r="A25" s="111" t="s">
        <v>52</v>
      </c>
      <c r="B25" s="111"/>
      <c r="C25" s="111"/>
      <c r="D25" s="111"/>
      <c r="E25" s="111"/>
      <c r="F25" s="111"/>
      <c r="G25" s="111"/>
      <c r="H25" s="111"/>
      <c r="I25" s="111"/>
      <c r="J25" s="111"/>
      <c r="L25" s="22" t="s">
        <v>53</v>
      </c>
      <c r="M25" s="22" t="s">
        <v>54</v>
      </c>
      <c r="P25" s="3">
        <v>23</v>
      </c>
      <c r="Q25" s="4" t="s">
        <v>55</v>
      </c>
      <c r="R25" s="23">
        <f>R24*R6*R3*2</f>
        <v>140.4144</v>
      </c>
      <c r="S25" s="4" t="s">
        <v>33</v>
      </c>
    </row>
    <row r="26" spans="1:19" ht="14.25">
      <c r="L26" s="24">
        <f>IF($M$14&lt;=$C$68,D68,IF($M$14&lt;=$C$69,D69,IF($M$14&lt;=$C$70,D70,IF($M$14&lt;=$C$71,D71,IF($M$14&lt;=$C$72,D72,IF($M$14&lt;=$C$73,D73,IF($M$14&lt;=$C$74,D74,IF($M$14&lt;=$C$75,D75,D76))))))))</f>
        <v>100</v>
      </c>
      <c r="M26" s="24">
        <f>IF($M$14&lt;=$C$68,E68,IF($M$14&lt;=$C$69,E69,IF($M$14&lt;=$C$70,E70,IF($M$14&lt;=$C$71,E71,IF($M$14&lt;=$C$72,E72,IF($M$14&lt;=$C$73,E73,IF($M$14&lt;=$C$74,E74,IF($M$14&lt;=$C$75,E75,E76))))))))</f>
        <v>130</v>
      </c>
      <c r="P26" s="3">
        <v>24</v>
      </c>
      <c r="Q26" s="4" t="s">
        <v>56</v>
      </c>
      <c r="R26" s="23">
        <f>IF(R23=1,R21*R12,0)</f>
        <v>0</v>
      </c>
      <c r="S26" s="4" t="s">
        <v>33</v>
      </c>
    </row>
    <row r="27" spans="1:19" ht="14.25">
      <c r="A27" s="111" t="s">
        <v>57</v>
      </c>
      <c r="B27" s="111"/>
      <c r="C27" s="111"/>
      <c r="D27" s="111"/>
      <c r="E27" s="111"/>
      <c r="F27" s="111"/>
      <c r="H27" s="115" t="str">
        <f>DanePomocnicze!C28</f>
        <v>RYZYKO ŚREDNIE</v>
      </c>
      <c r="I27" s="130"/>
      <c r="J27" s="131"/>
      <c r="M27" s="12"/>
      <c r="P27" s="3">
        <v>25</v>
      </c>
      <c r="Q27" s="4" t="s">
        <v>58</v>
      </c>
      <c r="R27" s="23">
        <f>IF(R3&gt;R5,((ROUND(R17,0))*R7),0)</f>
        <v>0</v>
      </c>
      <c r="S27" s="4" t="s">
        <v>33</v>
      </c>
    </row>
    <row r="28" spans="1:19" ht="15">
      <c r="M28" s="12"/>
      <c r="P28" s="3">
        <v>26</v>
      </c>
      <c r="Q28" s="25" t="s">
        <v>59</v>
      </c>
      <c r="R28" s="26">
        <f>R27+R26+R25</f>
        <v>140.4144</v>
      </c>
      <c r="S28" s="4" t="s">
        <v>33</v>
      </c>
    </row>
    <row r="29" spans="1:19" ht="14.25">
      <c r="A29" s="111" t="s">
        <v>60</v>
      </c>
      <c r="B29" s="111"/>
      <c r="C29" s="111"/>
      <c r="D29" s="111"/>
      <c r="E29" s="111"/>
      <c r="F29" s="111"/>
      <c r="G29" s="111"/>
      <c r="H29" s="111"/>
      <c r="I29" s="111"/>
      <c r="L29" s="27">
        <f>IF(H27="Ryzyko niskie",L26,IF(H27="Ryzyko średnie",(L26+M26)/2,M26))</f>
        <v>115</v>
      </c>
      <c r="P29" s="3">
        <v>27</v>
      </c>
      <c r="Q29" s="4" t="s">
        <v>61</v>
      </c>
      <c r="R29" s="23">
        <f>J33</f>
        <v>8740</v>
      </c>
      <c r="S29" s="4" t="s">
        <v>62</v>
      </c>
    </row>
    <row r="30" spans="1:19" ht="14.25">
      <c r="A30" s="111" t="s">
        <v>63</v>
      </c>
      <c r="B30" s="111"/>
      <c r="C30" s="111"/>
      <c r="D30" s="111"/>
      <c r="E30" s="111"/>
      <c r="F30" s="111"/>
      <c r="G30" s="111"/>
      <c r="H30" s="111"/>
      <c r="I30" s="111"/>
      <c r="L30" s="27">
        <f>L29*80%</f>
        <v>92</v>
      </c>
      <c r="P30" s="3">
        <v>28</v>
      </c>
      <c r="Q30" s="4" t="s">
        <v>64</v>
      </c>
      <c r="R30" s="23">
        <f>R29+R28</f>
        <v>8880.4143999999997</v>
      </c>
      <c r="S30" s="4" t="s">
        <v>33</v>
      </c>
    </row>
    <row r="31" spans="1:19" ht="14.25">
      <c r="C31" s="18" t="s">
        <v>65</v>
      </c>
      <c r="D31" s="111" t="s">
        <v>66</v>
      </c>
      <c r="E31" s="111"/>
      <c r="F31" s="111"/>
      <c r="G31" s="28">
        <f>L30</f>
        <v>92</v>
      </c>
      <c r="I31" s="2" t="s">
        <v>67</v>
      </c>
      <c r="J31" s="29">
        <f>G31*K23</f>
        <v>8740</v>
      </c>
      <c r="P31" s="3">
        <v>29</v>
      </c>
      <c r="Q31" s="4" t="s">
        <v>68</v>
      </c>
      <c r="R31" s="4">
        <f>R13*R30</f>
        <v>444.02071999999998</v>
      </c>
      <c r="S31" s="4" t="s">
        <v>33</v>
      </c>
    </row>
    <row r="32" spans="1:19" ht="14.25">
      <c r="D32" s="111" t="s">
        <v>69</v>
      </c>
      <c r="E32" s="111"/>
      <c r="F32" s="111"/>
      <c r="G32" s="28">
        <f>L30-G31</f>
        <v>0</v>
      </c>
      <c r="I32" s="2" t="s">
        <v>67</v>
      </c>
      <c r="J32" s="29">
        <f>G32*K24</f>
        <v>0</v>
      </c>
      <c r="L32" s="119" t="s">
        <v>70</v>
      </c>
      <c r="M32" s="116"/>
      <c r="N32" s="30">
        <f>DanePomocnicze!D30</f>
        <v>9</v>
      </c>
      <c r="P32" s="3">
        <v>30</v>
      </c>
      <c r="Q32" s="4" t="s">
        <v>71</v>
      </c>
      <c r="R32" s="4">
        <f>R14*R30</f>
        <v>177.60828799999999</v>
      </c>
      <c r="S32" s="4" t="s">
        <v>33</v>
      </c>
    </row>
    <row r="33" spans="1:19" ht="14.25">
      <c r="D33" s="111" t="s">
        <v>72</v>
      </c>
      <c r="E33" s="111"/>
      <c r="F33" s="111"/>
      <c r="G33" s="31">
        <f>SUM(G31:G32)</f>
        <v>92</v>
      </c>
      <c r="I33" s="2" t="s">
        <v>72</v>
      </c>
      <c r="J33" s="32">
        <f>SUM(J31:J32)</f>
        <v>8740</v>
      </c>
      <c r="L33" s="119" t="s">
        <v>73</v>
      </c>
      <c r="M33" s="116"/>
      <c r="N33" s="4">
        <f>DanePomocnicze!D31</f>
        <v>6</v>
      </c>
      <c r="P33" s="3">
        <v>31</v>
      </c>
      <c r="Q33" s="4" t="s">
        <v>74</v>
      </c>
      <c r="R33" s="4">
        <f>R15*R29</f>
        <v>611.80000000000007</v>
      </c>
      <c r="S33" s="4" t="s">
        <v>33</v>
      </c>
    </row>
    <row r="34" spans="1:19" ht="15">
      <c r="A34" s="111" t="s">
        <v>75</v>
      </c>
      <c r="B34" s="111"/>
      <c r="C34" s="111"/>
      <c r="D34" s="111"/>
      <c r="E34" s="111"/>
      <c r="F34" s="111"/>
      <c r="J34" s="18"/>
      <c r="P34" s="3">
        <v>32</v>
      </c>
      <c r="Q34" s="25" t="s">
        <v>76</v>
      </c>
      <c r="R34" s="25">
        <f>R33+R32+R31</f>
        <v>1233.4290080000001</v>
      </c>
      <c r="S34" s="25" t="s">
        <v>33</v>
      </c>
    </row>
    <row r="35" spans="1:19" ht="15.75">
      <c r="D35" s="111" t="s">
        <v>77</v>
      </c>
      <c r="E35" s="111"/>
      <c r="F35" s="111"/>
      <c r="G35" s="111"/>
      <c r="J35" s="33">
        <f>SUM(J36:J39)</f>
        <v>732.15520000000004</v>
      </c>
      <c r="K35" s="34" t="s">
        <v>78</v>
      </c>
      <c r="L35" s="12"/>
      <c r="P35" s="35">
        <v>33</v>
      </c>
      <c r="Q35" s="36" t="s">
        <v>79</v>
      </c>
      <c r="R35" s="37">
        <f>R34+R30</f>
        <v>10113.843408000001</v>
      </c>
      <c r="S35" s="36" t="s">
        <v>33</v>
      </c>
    </row>
    <row r="36" spans="1:19" ht="14.25">
      <c r="D36" s="18" t="s">
        <v>65</v>
      </c>
      <c r="E36" s="111" t="s">
        <v>80</v>
      </c>
      <c r="F36" s="111"/>
      <c r="G36" s="111"/>
      <c r="H36" s="111"/>
      <c r="J36" s="38">
        <f>DanePomocnicze!O26</f>
        <v>120.3552</v>
      </c>
      <c r="K36" s="39">
        <f>R3</f>
        <v>12</v>
      </c>
      <c r="L36" s="40"/>
    </row>
    <row r="37" spans="1:19" ht="14.25">
      <c r="E37" s="111" t="s">
        <v>81</v>
      </c>
      <c r="F37" s="111"/>
      <c r="G37" s="111"/>
      <c r="H37" s="111"/>
      <c r="J37" s="38">
        <f>DanePomocnicze!O27</f>
        <v>0</v>
      </c>
      <c r="K37" s="41"/>
      <c r="L37" s="40"/>
      <c r="M37" s="12"/>
    </row>
    <row r="38" spans="1:19" ht="14.25">
      <c r="E38" s="111" t="s">
        <v>82</v>
      </c>
      <c r="F38" s="111"/>
      <c r="G38" s="111"/>
      <c r="H38" s="111"/>
      <c r="J38" s="38">
        <f>DanePomocnicze!O28</f>
        <v>0</v>
      </c>
      <c r="K38" s="41"/>
      <c r="L38" s="40"/>
      <c r="M38" s="12"/>
    </row>
    <row r="39" spans="1:19" ht="14.25">
      <c r="E39" s="111" t="s">
        <v>83</v>
      </c>
      <c r="F39" s="111"/>
      <c r="G39" s="111"/>
      <c r="H39" s="111"/>
      <c r="J39" s="38">
        <f>DanePomocnicze!O34</f>
        <v>611.80000000000007</v>
      </c>
    </row>
    <row r="40" spans="1:19">
      <c r="J40" s="18"/>
    </row>
    <row r="41" spans="1:19" ht="18.75" thickBot="1">
      <c r="A41" s="128" t="s">
        <v>84</v>
      </c>
      <c r="B41" s="128"/>
      <c r="C41" s="128"/>
      <c r="D41" s="128"/>
      <c r="E41" s="128"/>
      <c r="F41" s="128"/>
      <c r="J41" s="42">
        <f>J33+J35</f>
        <v>9472.1551999999992</v>
      </c>
    </row>
    <row r="42" spans="1:19" ht="18.75" thickBot="1">
      <c r="A42" s="43" t="s">
        <v>85</v>
      </c>
      <c r="B42" s="43"/>
      <c r="C42" s="43"/>
      <c r="D42" s="43"/>
      <c r="E42" s="43"/>
      <c r="F42" s="43"/>
      <c r="G42" s="43"/>
      <c r="H42" s="43"/>
      <c r="I42" s="43"/>
      <c r="J42" s="44">
        <f>CEILING(J41,1000)-100</f>
        <v>9900</v>
      </c>
    </row>
    <row r="43" spans="1:19" ht="18.75" thickBot="1">
      <c r="A43" s="2" t="s">
        <v>198</v>
      </c>
      <c r="J43" s="44">
        <f>J42*1.23</f>
        <v>12177</v>
      </c>
    </row>
    <row r="44" spans="1:19" ht="12.75" customHeight="1">
      <c r="A44" s="123" t="s">
        <v>86</v>
      </c>
      <c r="B44" s="123"/>
      <c r="C44" s="123"/>
      <c r="D44" s="123"/>
      <c r="E44" s="123"/>
      <c r="F44" s="123"/>
      <c r="G44" s="123"/>
      <c r="H44" s="123"/>
      <c r="I44" s="123"/>
    </row>
    <row r="45" spans="1:19">
      <c r="A45" s="123"/>
      <c r="B45" s="123"/>
      <c r="C45" s="123"/>
      <c r="D45" s="123"/>
      <c r="E45" s="123"/>
      <c r="F45" s="123"/>
      <c r="G45" s="123"/>
      <c r="H45" s="123"/>
      <c r="I45" s="123"/>
    </row>
    <row r="46" spans="1:19">
      <c r="A46" s="123"/>
      <c r="B46" s="123"/>
      <c r="C46" s="123"/>
      <c r="D46" s="123"/>
      <c r="E46" s="123"/>
      <c r="F46" s="123"/>
      <c r="G46" s="123"/>
      <c r="H46" s="123"/>
      <c r="I46" s="123"/>
      <c r="J46" s="2" t="s">
        <v>87</v>
      </c>
      <c r="L46" s="45"/>
    </row>
    <row r="48" spans="1:19" ht="13.5" thickBot="1">
      <c r="E48" s="2" t="s">
        <v>88</v>
      </c>
      <c r="H48" s="2" t="s">
        <v>201</v>
      </c>
      <c r="L48" s="2" t="s">
        <v>89</v>
      </c>
    </row>
    <row r="49" spans="2:13" ht="18.75" thickBot="1">
      <c r="B49" s="2" t="s">
        <v>216</v>
      </c>
      <c r="H49" s="44">
        <f>'KARTA INFORMACYJNA'!E43*1000</f>
        <v>0</v>
      </c>
    </row>
    <row r="50" spans="2:13" ht="18.75" thickBot="1">
      <c r="B50" s="2" t="s">
        <v>90</v>
      </c>
      <c r="E50" s="46">
        <f>J42</f>
        <v>9900</v>
      </c>
      <c r="F50" s="47"/>
      <c r="H50" s="44">
        <f>DanePomocnicze!D40</f>
        <v>9900</v>
      </c>
    </row>
    <row r="51" spans="2:13" ht="18.75" thickBot="1">
      <c r="E51" s="46"/>
      <c r="F51" s="47"/>
      <c r="H51" s="44">
        <f>H50*1.23</f>
        <v>12177</v>
      </c>
    </row>
    <row r="52" spans="2:13">
      <c r="B52" s="2" t="s">
        <v>91</v>
      </c>
      <c r="E52" s="74" t="s">
        <v>202</v>
      </c>
      <c r="H52" s="78" t="str">
        <f>E52</f>
        <v>IV kwartał 2015</v>
      </c>
    </row>
    <row r="53" spans="2:13">
      <c r="B53" s="2" t="s">
        <v>92</v>
      </c>
      <c r="E53" s="74"/>
      <c r="F53" s="2">
        <f>MONTH(E54)</f>
        <v>1</v>
      </c>
    </row>
    <row r="54" spans="2:13">
      <c r="B54" s="2" t="s">
        <v>200</v>
      </c>
      <c r="E54" s="79">
        <f>'KARTA INFORMACYJNA'!$E47</f>
        <v>0</v>
      </c>
    </row>
    <row r="55" spans="2:13">
      <c r="B55" s="2" t="s">
        <v>93</v>
      </c>
      <c r="E55" s="80">
        <f>DanePomocnicze!D43</f>
        <v>0</v>
      </c>
      <c r="F55" s="75"/>
      <c r="G55" s="75"/>
    </row>
    <row r="56" spans="2:13">
      <c r="B56" s="2" t="s">
        <v>199</v>
      </c>
      <c r="E56" s="77">
        <f>'KARTA INFORMACYJNA'!$E49</f>
        <v>0</v>
      </c>
    </row>
    <row r="57" spans="2:13">
      <c r="B57" s="2" t="s">
        <v>94</v>
      </c>
    </row>
    <row r="61" spans="2:13">
      <c r="M61" s="48"/>
    </row>
    <row r="62" spans="2:13" ht="12.75" customHeight="1">
      <c r="B62" s="124" t="s">
        <v>5</v>
      </c>
      <c r="C62" s="124"/>
      <c r="D62" s="124"/>
      <c r="E62" s="124"/>
    </row>
    <row r="65" spans="2:5" ht="12.75" customHeight="1">
      <c r="B65" s="125" t="s">
        <v>95</v>
      </c>
      <c r="C65" s="126"/>
      <c r="D65" s="125" t="s">
        <v>96</v>
      </c>
      <c r="E65" s="126"/>
    </row>
    <row r="66" spans="2:5">
      <c r="B66" s="119" t="s">
        <v>97</v>
      </c>
      <c r="C66" s="117"/>
      <c r="D66" s="119" t="s">
        <v>98</v>
      </c>
      <c r="E66" s="117"/>
    </row>
    <row r="67" spans="2:5">
      <c r="B67" s="22" t="s">
        <v>99</v>
      </c>
      <c r="C67" s="22" t="s">
        <v>100</v>
      </c>
      <c r="D67" s="22" t="s">
        <v>99</v>
      </c>
      <c r="E67" s="22" t="s">
        <v>100</v>
      </c>
    </row>
    <row r="68" spans="2:5">
      <c r="B68" s="49"/>
      <c r="C68" s="49">
        <v>24000000</v>
      </c>
      <c r="D68" s="49">
        <v>100</v>
      </c>
      <c r="E68" s="49">
        <f t="shared" ref="E68:E75" si="0">D69</f>
        <v>130</v>
      </c>
    </row>
    <row r="69" spans="2:5">
      <c r="B69" s="49">
        <f t="shared" ref="B69:B75" si="1">C68+1</f>
        <v>24000001</v>
      </c>
      <c r="C69" s="49">
        <v>36000000</v>
      </c>
      <c r="D69" s="49">
        <v>130</v>
      </c>
      <c r="E69" s="49">
        <f t="shared" si="0"/>
        <v>160</v>
      </c>
    </row>
    <row r="70" spans="2:5">
      <c r="B70" s="49">
        <f t="shared" si="1"/>
        <v>36000001</v>
      </c>
      <c r="C70" s="49">
        <v>48000000</v>
      </c>
      <c r="D70" s="49">
        <v>160</v>
      </c>
      <c r="E70" s="49">
        <f t="shared" si="0"/>
        <v>190</v>
      </c>
    </row>
    <row r="71" spans="2:5">
      <c r="B71" s="49">
        <f t="shared" si="1"/>
        <v>48000001</v>
      </c>
      <c r="C71" s="49">
        <v>80000000</v>
      </c>
      <c r="D71" s="49">
        <v>190</v>
      </c>
      <c r="E71" s="49">
        <f t="shared" si="0"/>
        <v>250</v>
      </c>
    </row>
    <row r="72" spans="2:5">
      <c r="B72" s="49">
        <f t="shared" si="1"/>
        <v>80000001</v>
      </c>
      <c r="C72" s="49">
        <v>120000000</v>
      </c>
      <c r="D72" s="49">
        <v>250</v>
      </c>
      <c r="E72" s="49">
        <f t="shared" si="0"/>
        <v>320</v>
      </c>
    </row>
    <row r="73" spans="2:5">
      <c r="B73" s="49">
        <f t="shared" si="1"/>
        <v>120000001</v>
      </c>
      <c r="C73" s="49">
        <v>160000000</v>
      </c>
      <c r="D73" s="49">
        <v>320</v>
      </c>
      <c r="E73" s="49">
        <f t="shared" si="0"/>
        <v>390</v>
      </c>
    </row>
    <row r="74" spans="2:5">
      <c r="B74" s="49">
        <f t="shared" si="1"/>
        <v>160000001</v>
      </c>
      <c r="C74" s="49">
        <v>200000000</v>
      </c>
      <c r="D74" s="49">
        <v>390</v>
      </c>
      <c r="E74" s="49">
        <f t="shared" si="0"/>
        <v>460</v>
      </c>
    </row>
    <row r="75" spans="2:5">
      <c r="B75" s="49">
        <f t="shared" si="1"/>
        <v>200000001</v>
      </c>
      <c r="C75" s="49">
        <v>240000000</v>
      </c>
      <c r="D75" s="49">
        <v>460</v>
      </c>
      <c r="E75" s="49">
        <f t="shared" si="0"/>
        <v>530</v>
      </c>
    </row>
    <row r="76" spans="2:5">
      <c r="B76" s="127" t="s">
        <v>101</v>
      </c>
      <c r="C76" s="127"/>
      <c r="D76" s="49">
        <v>530</v>
      </c>
      <c r="E76" s="49">
        <v>730</v>
      </c>
    </row>
    <row r="83" spans="4:14">
      <c r="D83" s="103" t="s">
        <v>102</v>
      </c>
      <c r="E83" s="104"/>
      <c r="F83" s="104"/>
      <c r="G83" s="104"/>
      <c r="H83" s="104"/>
      <c r="I83" s="104"/>
      <c r="J83" s="104"/>
      <c r="K83" s="104"/>
      <c r="L83" s="104"/>
      <c r="M83" s="104"/>
    </row>
    <row r="86" spans="4:14" ht="51">
      <c r="D86" s="105" t="s">
        <v>103</v>
      </c>
      <c r="E86" s="106"/>
      <c r="F86" s="106"/>
      <c r="G86" s="106"/>
      <c r="H86" s="106"/>
      <c r="I86" s="106"/>
      <c r="J86" s="106"/>
      <c r="K86" s="106"/>
      <c r="L86" s="107"/>
      <c r="M86" s="50" t="s">
        <v>104</v>
      </c>
      <c r="N86" s="51" t="s">
        <v>105</v>
      </c>
    </row>
    <row r="87" spans="4:14">
      <c r="D87" s="50">
        <v>1</v>
      </c>
      <c r="E87" s="100" t="s">
        <v>106</v>
      </c>
      <c r="F87" s="101"/>
      <c r="G87" s="101"/>
      <c r="H87" s="101"/>
      <c r="I87" s="101"/>
      <c r="J87" s="101"/>
      <c r="K87" s="101"/>
      <c r="L87" s="102"/>
      <c r="M87" s="4">
        <f>DanePomocnicze!J3</f>
        <v>0</v>
      </c>
      <c r="N87" s="4">
        <f>DanePomocnicze!K3</f>
        <v>3</v>
      </c>
    </row>
    <row r="88" spans="4:14">
      <c r="D88" s="50">
        <v>2</v>
      </c>
      <c r="E88" s="100" t="s">
        <v>107</v>
      </c>
      <c r="F88" s="101"/>
      <c r="G88" s="101"/>
      <c r="H88" s="101"/>
      <c r="I88" s="101"/>
      <c r="J88" s="101"/>
      <c r="K88" s="101"/>
      <c r="L88" s="102"/>
      <c r="M88" s="4">
        <f>DanePomocnicze!J4</f>
        <v>0</v>
      </c>
      <c r="N88" s="4">
        <f>DanePomocnicze!K4</f>
        <v>2</v>
      </c>
    </row>
    <row r="89" spans="4:14">
      <c r="D89" s="50">
        <v>3</v>
      </c>
      <c r="E89" s="108" t="s">
        <v>108</v>
      </c>
      <c r="F89" s="109"/>
      <c r="G89" s="109"/>
      <c r="H89" s="109"/>
      <c r="I89" s="109"/>
      <c r="J89" s="109"/>
      <c r="K89" s="109"/>
      <c r="L89" s="110"/>
      <c r="M89" s="4">
        <f>DanePomocnicze!J5</f>
        <v>0</v>
      </c>
      <c r="N89" s="4">
        <f>DanePomocnicze!K5</f>
        <v>1</v>
      </c>
    </row>
    <row r="90" spans="4:14">
      <c r="D90" s="50">
        <v>4</v>
      </c>
      <c r="E90" s="100" t="s">
        <v>109</v>
      </c>
      <c r="F90" s="101"/>
      <c r="G90" s="101"/>
      <c r="H90" s="101"/>
      <c r="I90" s="101"/>
      <c r="J90" s="101"/>
      <c r="K90" s="101"/>
      <c r="L90" s="102"/>
      <c r="M90" s="4">
        <f>DanePomocnicze!J6</f>
        <v>0</v>
      </c>
      <c r="N90" s="4">
        <f>DanePomocnicze!K6</f>
        <v>1</v>
      </c>
    </row>
    <row r="91" spans="4:14">
      <c r="D91" s="50">
        <v>5</v>
      </c>
      <c r="E91" s="100" t="s">
        <v>110</v>
      </c>
      <c r="F91" s="101"/>
      <c r="G91" s="101"/>
      <c r="H91" s="101"/>
      <c r="I91" s="101"/>
      <c r="J91" s="101"/>
      <c r="K91" s="101"/>
      <c r="L91" s="102"/>
      <c r="M91" s="4">
        <f>DanePomocnicze!J7</f>
        <v>0</v>
      </c>
      <c r="N91" s="4">
        <f>DanePomocnicze!K7</f>
        <v>2</v>
      </c>
    </row>
    <row r="92" spans="4:14">
      <c r="D92" s="50">
        <v>6</v>
      </c>
      <c r="E92" s="108" t="s">
        <v>111</v>
      </c>
      <c r="F92" s="109"/>
      <c r="G92" s="109"/>
      <c r="H92" s="109"/>
      <c r="I92" s="109"/>
      <c r="J92" s="109"/>
      <c r="K92" s="109"/>
      <c r="L92" s="110"/>
      <c r="M92" s="4">
        <f>DanePomocnicze!J8</f>
        <v>0</v>
      </c>
      <c r="N92" s="4">
        <f>DanePomocnicze!K8</f>
        <v>2</v>
      </c>
    </row>
    <row r="93" spans="4:14">
      <c r="D93" s="50">
        <v>7</v>
      </c>
      <c r="E93" s="100" t="s">
        <v>112</v>
      </c>
      <c r="F93" s="101"/>
      <c r="G93" s="101"/>
      <c r="H93" s="101"/>
      <c r="I93" s="101"/>
      <c r="J93" s="101"/>
      <c r="K93" s="101"/>
      <c r="L93" s="102"/>
      <c r="M93" s="4">
        <f>DanePomocnicze!J9</f>
        <v>0</v>
      </c>
      <c r="N93" s="4">
        <f>DanePomocnicze!K9</f>
        <v>1</v>
      </c>
    </row>
    <row r="94" spans="4:14">
      <c r="D94" s="50">
        <v>8</v>
      </c>
      <c r="E94" s="100" t="s">
        <v>113</v>
      </c>
      <c r="F94" s="101"/>
      <c r="G94" s="101"/>
      <c r="H94" s="101"/>
      <c r="I94" s="101"/>
      <c r="J94" s="101"/>
      <c r="K94" s="101"/>
      <c r="L94" s="102"/>
      <c r="M94" s="4">
        <f>DanePomocnicze!J10</f>
        <v>0</v>
      </c>
      <c r="N94" s="4">
        <f>DanePomocnicze!K10</f>
        <v>1</v>
      </c>
    </row>
    <row r="95" spans="4:14">
      <c r="D95" s="50">
        <v>9</v>
      </c>
      <c r="E95" s="100" t="s">
        <v>114</v>
      </c>
      <c r="F95" s="101"/>
      <c r="G95" s="101"/>
      <c r="H95" s="101"/>
      <c r="I95" s="101"/>
      <c r="J95" s="101"/>
      <c r="K95" s="101"/>
      <c r="L95" s="102"/>
      <c r="M95" s="4">
        <f>DanePomocnicze!J11</f>
        <v>0</v>
      </c>
      <c r="N95" s="4">
        <f>DanePomocnicze!K11</f>
        <v>1</v>
      </c>
    </row>
    <row r="96" spans="4:14">
      <c r="D96" s="50">
        <v>10</v>
      </c>
      <c r="E96" s="100" t="s">
        <v>115</v>
      </c>
      <c r="F96" s="101"/>
      <c r="G96" s="101"/>
      <c r="H96" s="101"/>
      <c r="I96" s="101"/>
      <c r="J96" s="101"/>
      <c r="K96" s="101"/>
      <c r="L96" s="102"/>
      <c r="M96" s="4">
        <f>DanePomocnicze!J12</f>
        <v>0</v>
      </c>
      <c r="N96" s="4">
        <f>DanePomocnicze!K12</f>
        <v>2</v>
      </c>
    </row>
    <row r="97" spans="2:14">
      <c r="D97" s="50">
        <v>11</v>
      </c>
      <c r="E97" s="100" t="s">
        <v>116</v>
      </c>
      <c r="F97" s="101"/>
      <c r="G97" s="101"/>
      <c r="H97" s="101"/>
      <c r="I97" s="101"/>
      <c r="J97" s="101"/>
      <c r="K97" s="101"/>
      <c r="L97" s="102"/>
      <c r="M97" s="4">
        <f>DanePomocnicze!J13</f>
        <v>0</v>
      </c>
      <c r="N97" s="4">
        <f>DanePomocnicze!K13</f>
        <v>2</v>
      </c>
    </row>
    <row r="98" spans="2:14">
      <c r="D98" s="50">
        <v>12</v>
      </c>
      <c r="E98" s="100" t="s">
        <v>117</v>
      </c>
      <c r="F98" s="101"/>
      <c r="G98" s="101"/>
      <c r="H98" s="101"/>
      <c r="I98" s="101"/>
      <c r="J98" s="101"/>
      <c r="K98" s="101"/>
      <c r="L98" s="102"/>
      <c r="M98" s="4">
        <f>DanePomocnicze!J14</f>
        <v>0</v>
      </c>
      <c r="N98" s="4">
        <f>DanePomocnicze!K14</f>
        <v>1</v>
      </c>
    </row>
    <row r="99" spans="2:14">
      <c r="D99" s="112" t="s">
        <v>118</v>
      </c>
      <c r="E99" s="113"/>
      <c r="F99" s="113"/>
      <c r="G99" s="113"/>
      <c r="H99" s="113"/>
      <c r="I99" s="113"/>
      <c r="J99" s="113"/>
      <c r="K99" s="113"/>
      <c r="L99" s="113"/>
      <c r="M99" s="113"/>
      <c r="N99" s="53"/>
    </row>
    <row r="100" spans="2:14">
      <c r="D100" s="50">
        <f>DanePomocnicze!A16</f>
        <v>0</v>
      </c>
      <c r="E100" s="114">
        <f>DanePomocnicze!B16</f>
        <v>0</v>
      </c>
      <c r="F100" s="114"/>
      <c r="G100" s="114"/>
      <c r="H100" s="114"/>
      <c r="I100" s="114"/>
      <c r="J100" s="114"/>
      <c r="K100" s="114"/>
      <c r="L100" s="114"/>
      <c r="M100" s="4">
        <f>DanePomocnicze!J16</f>
        <v>0</v>
      </c>
      <c r="N100" s="4">
        <f>DanePomocnicze!K16</f>
        <v>0</v>
      </c>
    </row>
    <row r="101" spans="2:14">
      <c r="D101" s="50">
        <f>DanePomocnicze!A17</f>
        <v>0</v>
      </c>
      <c r="E101" s="114">
        <f>DanePomocnicze!B17</f>
        <v>0</v>
      </c>
      <c r="F101" s="114"/>
      <c r="G101" s="114"/>
      <c r="H101" s="114"/>
      <c r="I101" s="114"/>
      <c r="J101" s="114"/>
      <c r="K101" s="114"/>
      <c r="L101" s="114"/>
      <c r="M101" s="4">
        <f>DanePomocnicze!J17</f>
        <v>0</v>
      </c>
      <c r="N101" s="4">
        <f>DanePomocnicze!K17</f>
        <v>0</v>
      </c>
    </row>
    <row r="102" spans="2:14">
      <c r="D102" s="50">
        <f>DanePomocnicze!A18</f>
        <v>0</v>
      </c>
      <c r="E102" s="114">
        <f>DanePomocnicze!B18</f>
        <v>0</v>
      </c>
      <c r="F102" s="114"/>
      <c r="G102" s="114"/>
      <c r="H102" s="114"/>
      <c r="I102" s="114"/>
      <c r="J102" s="114"/>
      <c r="K102" s="114"/>
      <c r="L102" s="114"/>
      <c r="M102" s="4">
        <f>DanePomocnicze!J18</f>
        <v>0</v>
      </c>
      <c r="N102" s="4">
        <f>DanePomocnicze!K18</f>
        <v>0</v>
      </c>
    </row>
    <row r="103" spans="2:14">
      <c r="D103" s="115" t="s">
        <v>119</v>
      </c>
      <c r="E103" s="116"/>
      <c r="F103" s="116"/>
      <c r="G103" s="116"/>
      <c r="H103" s="116"/>
      <c r="I103" s="116"/>
      <c r="J103" s="116"/>
      <c r="K103" s="116"/>
      <c r="L103" s="116"/>
      <c r="M103" s="117"/>
      <c r="N103" s="4">
        <f>SUM(N87:N98)+SUM(N100:N102)</f>
        <v>19</v>
      </c>
    </row>
    <row r="104" spans="2:14">
      <c r="L104" s="118" t="s">
        <v>120</v>
      </c>
      <c r="M104" s="118"/>
      <c r="N104" s="4">
        <f>COUNTIF(N87:N102,"&gt;=1")</f>
        <v>12</v>
      </c>
    </row>
    <row r="105" spans="2:14">
      <c r="B105" s="122" t="s">
        <v>121</v>
      </c>
      <c r="C105" s="104"/>
      <c r="D105" s="104"/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</row>
    <row r="106" spans="2:14">
      <c r="H106" s="111" t="s">
        <v>122</v>
      </c>
      <c r="I106" s="111"/>
      <c r="J106" s="111"/>
      <c r="K106" s="111"/>
      <c r="L106" s="111"/>
      <c r="M106" s="111"/>
    </row>
    <row r="107" spans="2:14">
      <c r="H107" s="111" t="s">
        <v>123</v>
      </c>
      <c r="I107" s="111"/>
      <c r="J107" s="111"/>
      <c r="K107" s="111"/>
      <c r="L107" s="111"/>
      <c r="M107" s="111"/>
    </row>
    <row r="108" spans="2:14">
      <c r="H108" s="111" t="s">
        <v>124</v>
      </c>
      <c r="I108" s="111"/>
      <c r="J108" s="111"/>
      <c r="K108" s="111"/>
      <c r="L108" s="111"/>
      <c r="M108" s="111"/>
    </row>
    <row r="110" spans="2:14">
      <c r="F110" s="104" t="s">
        <v>125</v>
      </c>
      <c r="G110" s="104"/>
      <c r="H110" s="104"/>
      <c r="I110" s="104"/>
      <c r="J110" s="104"/>
      <c r="K110" s="104"/>
      <c r="L110" s="2" t="s">
        <v>126</v>
      </c>
      <c r="M110" s="4">
        <f>N103/N104</f>
        <v>1.5833333333333333</v>
      </c>
    </row>
    <row r="112" spans="2:14">
      <c r="C112" s="118" t="s">
        <v>127</v>
      </c>
      <c r="D112" s="118"/>
      <c r="F112" s="118" t="str">
        <f>IF(M110&lt;1,"WARUNEK NIE SPEŁNIONY",IF(M110&lt;=1.5,"RYZYKO NISKIE",IF(M110&lt;=2.5,"RYZYKO ŚREDNIE","RYZYKO WYSOKIE")))</f>
        <v>RYZYKO ŚREDNIE</v>
      </c>
      <c r="G112" s="118"/>
      <c r="H112" s="118"/>
    </row>
    <row r="121" spans="1:1">
      <c r="A121" s="73"/>
    </row>
  </sheetData>
  <mergeCells count="63">
    <mergeCell ref="E14:L14"/>
    <mergeCell ref="F3:L3"/>
    <mergeCell ref="F4:L4"/>
    <mergeCell ref="A6:E6"/>
    <mergeCell ref="E13:J13"/>
    <mergeCell ref="A30:I30"/>
    <mergeCell ref="F15:L15"/>
    <mergeCell ref="F16:L16"/>
    <mergeCell ref="F17:L17"/>
    <mergeCell ref="F18:L18"/>
    <mergeCell ref="A21:I21"/>
    <mergeCell ref="L21:M21"/>
    <mergeCell ref="A22:K22"/>
    <mergeCell ref="A25:J25"/>
    <mergeCell ref="A27:F27"/>
    <mergeCell ref="H27:J27"/>
    <mergeCell ref="A29:I29"/>
    <mergeCell ref="A41:F41"/>
    <mergeCell ref="D31:F31"/>
    <mergeCell ref="D32:F32"/>
    <mergeCell ref="L32:M32"/>
    <mergeCell ref="D33:F33"/>
    <mergeCell ref="L33:M33"/>
    <mergeCell ref="A34:F34"/>
    <mergeCell ref="D35:G35"/>
    <mergeCell ref="E36:H36"/>
    <mergeCell ref="E37:H37"/>
    <mergeCell ref="E38:H38"/>
    <mergeCell ref="E39:H39"/>
    <mergeCell ref="E89:L89"/>
    <mergeCell ref="A44:I46"/>
    <mergeCell ref="B62:E62"/>
    <mergeCell ref="B65:C65"/>
    <mergeCell ref="D65:E65"/>
    <mergeCell ref="B66:C66"/>
    <mergeCell ref="D66:E66"/>
    <mergeCell ref="B76:C76"/>
    <mergeCell ref="D83:M83"/>
    <mergeCell ref="D86:L86"/>
    <mergeCell ref="E87:L87"/>
    <mergeCell ref="E88:L88"/>
    <mergeCell ref="E101:L101"/>
    <mergeCell ref="E90:L90"/>
    <mergeCell ref="E91:L91"/>
    <mergeCell ref="E92:L92"/>
    <mergeCell ref="E93:L93"/>
    <mergeCell ref="E94:L94"/>
    <mergeCell ref="E95:L95"/>
    <mergeCell ref="E96:L96"/>
    <mergeCell ref="E97:L97"/>
    <mergeCell ref="E98:L98"/>
    <mergeCell ref="D99:M99"/>
    <mergeCell ref="E100:L100"/>
    <mergeCell ref="H108:M108"/>
    <mergeCell ref="F110:K110"/>
    <mergeCell ref="C112:D112"/>
    <mergeCell ref="F112:H112"/>
    <mergeCell ref="E102:L102"/>
    <mergeCell ref="D103:M103"/>
    <mergeCell ref="L104:M104"/>
    <mergeCell ref="B105:N105"/>
    <mergeCell ref="H106:M106"/>
    <mergeCell ref="H107:M107"/>
  </mergeCells>
  <hyperlinks>
    <hyperlink ref="A1" location="DanePomocnicze!A1" display="Dane pomocnicze"/>
    <hyperlink ref="A2" location="'KARTA INFORMACYJNA'!A1" display="Karta informacyjna"/>
  </hyperlinks>
  <pageMargins left="0.59055118110236227" right="0.31496062992125984" top="0.43307086614173229" bottom="0.35433070866141736" header="0.31496062992125984" footer="0.31496062992125984"/>
  <pageSetup paperSize="9" scale="72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50"/>
  <sheetViews>
    <sheetView tabSelected="1" view="pageBreakPreview" zoomScale="115" zoomScaleNormal="100" zoomScaleSheetLayoutView="115" workbookViewId="0">
      <selection activeCell="G50" sqref="G50"/>
    </sheetView>
  </sheetViews>
  <sheetFormatPr defaultRowHeight="12.75"/>
  <cols>
    <col min="1" max="1" width="3.7109375" customWidth="1"/>
    <col min="2" max="2" width="90.5703125" customWidth="1"/>
    <col min="3" max="3" width="16.28515625" customWidth="1"/>
    <col min="4" max="4" width="16.42578125" customWidth="1"/>
    <col min="5" max="5" width="12.28515625" hidden="1" customWidth="1"/>
  </cols>
  <sheetData>
    <row r="1" spans="1:6" s="65" customFormat="1" ht="56.25" customHeight="1" thickBot="1"/>
    <row r="2" spans="1:6" ht="15.75" customHeight="1">
      <c r="A2" s="150" t="s">
        <v>128</v>
      </c>
      <c r="B2" s="151"/>
      <c r="C2" s="154" t="s">
        <v>129</v>
      </c>
      <c r="D2" s="155"/>
    </row>
    <row r="3" spans="1:6" ht="13.5" thickBot="1">
      <c r="A3" s="152" t="s">
        <v>185</v>
      </c>
      <c r="B3" s="153"/>
      <c r="C3" s="156"/>
      <c r="D3" s="157"/>
    </row>
    <row r="4" spans="1:6" ht="16.5" thickBot="1">
      <c r="A4" s="54" t="s">
        <v>182</v>
      </c>
      <c r="B4" s="55" t="s">
        <v>130</v>
      </c>
      <c r="C4" s="135" t="s">
        <v>131</v>
      </c>
      <c r="D4" s="136"/>
    </row>
    <row r="5" spans="1:6" ht="42" customHeight="1" thickBot="1">
      <c r="A5" s="70">
        <v>1</v>
      </c>
      <c r="B5" s="71" t="s">
        <v>132</v>
      </c>
      <c r="C5" s="137"/>
      <c r="D5" s="138"/>
      <c r="E5" s="69">
        <f>C5</f>
        <v>0</v>
      </c>
      <c r="F5" s="69"/>
    </row>
    <row r="6" spans="1:6" ht="16.5" thickBot="1">
      <c r="A6" s="72">
        <v>2</v>
      </c>
      <c r="B6" s="57" t="s">
        <v>133</v>
      </c>
      <c r="C6" s="139"/>
      <c r="D6" s="140"/>
    </row>
    <row r="7" spans="1:6" ht="16.5" thickBot="1">
      <c r="A7" s="58">
        <v>3</v>
      </c>
      <c r="B7" s="56" t="s">
        <v>134</v>
      </c>
      <c r="C7" s="139"/>
      <c r="D7" s="140"/>
    </row>
    <row r="8" spans="1:6" ht="16.5" thickBot="1">
      <c r="A8" s="58">
        <v>4</v>
      </c>
      <c r="B8" s="56" t="s">
        <v>135</v>
      </c>
      <c r="C8" s="139"/>
      <c r="D8" s="140"/>
    </row>
    <row r="9" spans="1:6" ht="16.5" thickBot="1">
      <c r="A9" s="58">
        <v>5</v>
      </c>
      <c r="B9" s="56" t="s">
        <v>194</v>
      </c>
      <c r="C9" s="139"/>
      <c r="D9" s="140"/>
    </row>
    <row r="10" spans="1:6" ht="16.5" thickBot="1">
      <c r="A10" s="58">
        <v>6</v>
      </c>
      <c r="B10" s="56" t="s">
        <v>136</v>
      </c>
      <c r="C10" s="133"/>
      <c r="D10" s="134"/>
    </row>
    <row r="11" spans="1:6" ht="16.5" thickBot="1">
      <c r="A11" s="58"/>
      <c r="B11" s="56" t="s">
        <v>137</v>
      </c>
      <c r="C11" s="133"/>
      <c r="D11" s="134"/>
    </row>
    <row r="12" spans="1:6" ht="16.5" thickBot="1">
      <c r="A12" s="58"/>
      <c r="B12" s="56" t="s">
        <v>138</v>
      </c>
      <c r="C12" s="133"/>
      <c r="D12" s="134"/>
    </row>
    <row r="13" spans="1:6" ht="15.75" customHeight="1" thickBot="1">
      <c r="A13" s="58"/>
      <c r="B13" s="56" t="s">
        <v>191</v>
      </c>
      <c r="C13" s="133"/>
      <c r="D13" s="158"/>
    </row>
    <row r="14" spans="1:6" ht="16.5" customHeight="1" thickBot="1">
      <c r="A14" s="58"/>
      <c r="B14" s="56" t="s">
        <v>192</v>
      </c>
      <c r="C14" s="133"/>
      <c r="D14" s="134"/>
    </row>
    <row r="15" spans="1:6" ht="16.5" thickBot="1">
      <c r="A15" s="58"/>
      <c r="B15" s="56" t="s">
        <v>184</v>
      </c>
      <c r="C15" s="133"/>
      <c r="D15" s="134"/>
    </row>
    <row r="16" spans="1:6" ht="16.5" thickBot="1">
      <c r="A16" s="58">
        <v>7</v>
      </c>
      <c r="B16" s="56" t="s">
        <v>193</v>
      </c>
      <c r="C16" s="141"/>
      <c r="D16" s="134"/>
    </row>
    <row r="17" spans="1:4" ht="45" customHeight="1" thickBot="1">
      <c r="A17" s="58">
        <v>8</v>
      </c>
      <c r="B17" s="56" t="s">
        <v>139</v>
      </c>
      <c r="C17" s="142"/>
      <c r="D17" s="143"/>
    </row>
    <row r="18" spans="1:4" ht="15.75" thickBot="1">
      <c r="A18" s="58">
        <v>9</v>
      </c>
      <c r="B18" s="56" t="s">
        <v>140</v>
      </c>
      <c r="C18" s="142"/>
      <c r="D18" s="143"/>
    </row>
    <row r="19" spans="1:4" ht="15.75" thickBot="1">
      <c r="A19" s="58">
        <v>10</v>
      </c>
      <c r="B19" s="56" t="s">
        <v>180</v>
      </c>
      <c r="C19" s="66" t="s">
        <v>215</v>
      </c>
      <c r="D19" s="99" t="s">
        <v>217</v>
      </c>
    </row>
    <row r="20" spans="1:4" ht="15.75" thickBot="1">
      <c r="A20" s="59" t="s">
        <v>141</v>
      </c>
      <c r="B20" s="56" t="s">
        <v>142</v>
      </c>
      <c r="C20" s="67"/>
      <c r="D20" s="68"/>
    </row>
    <row r="21" spans="1:4" ht="15.75" thickBot="1">
      <c r="A21" s="59" t="s">
        <v>143</v>
      </c>
      <c r="B21" s="56" t="s">
        <v>146</v>
      </c>
      <c r="C21" s="67"/>
      <c r="D21" s="68"/>
    </row>
    <row r="22" spans="1:4" ht="15.75" thickBot="1">
      <c r="A22" s="59" t="s">
        <v>145</v>
      </c>
      <c r="B22" s="56" t="s">
        <v>144</v>
      </c>
      <c r="C22" s="67"/>
      <c r="D22" s="68"/>
    </row>
    <row r="23" spans="1:4" ht="15.75" thickBot="1">
      <c r="A23" s="59" t="s">
        <v>147</v>
      </c>
      <c r="B23" s="56" t="s">
        <v>148</v>
      </c>
      <c r="C23" s="67"/>
      <c r="D23" s="68"/>
    </row>
    <row r="24" spans="1:4" ht="15.75" thickBot="1">
      <c r="A24" s="59" t="s">
        <v>149</v>
      </c>
      <c r="B24" s="56" t="s">
        <v>150</v>
      </c>
      <c r="C24" s="67"/>
      <c r="D24" s="68"/>
    </row>
    <row r="25" spans="1:4" ht="15.75" thickBot="1">
      <c r="A25" s="59" t="s">
        <v>151</v>
      </c>
      <c r="B25" s="56" t="s">
        <v>152</v>
      </c>
      <c r="C25" s="67"/>
      <c r="D25" s="68"/>
    </row>
    <row r="26" spans="1:4" ht="15.75" thickBot="1">
      <c r="A26" s="59" t="s">
        <v>153</v>
      </c>
      <c r="B26" s="56" t="s">
        <v>154</v>
      </c>
      <c r="C26" s="67"/>
      <c r="D26" s="68"/>
    </row>
    <row r="27" spans="1:4" ht="15.75" thickBot="1">
      <c r="A27" s="59" t="s">
        <v>155</v>
      </c>
      <c r="B27" s="56" t="s">
        <v>156</v>
      </c>
      <c r="C27" s="67"/>
      <c r="D27" s="68"/>
    </row>
    <row r="28" spans="1:4" ht="15.75" thickBot="1">
      <c r="A28" s="59" t="s">
        <v>157</v>
      </c>
      <c r="B28" s="56" t="s">
        <v>158</v>
      </c>
      <c r="C28" s="67"/>
      <c r="D28" s="68"/>
    </row>
    <row r="29" spans="1:4" ht="15.75" thickBot="1">
      <c r="A29" s="59" t="s">
        <v>159</v>
      </c>
      <c r="B29" s="56" t="s">
        <v>160</v>
      </c>
      <c r="C29" s="67"/>
      <c r="D29" s="68"/>
    </row>
    <row r="30" spans="1:4" ht="15.75" thickBot="1">
      <c r="A30" s="59" t="s">
        <v>161</v>
      </c>
      <c r="B30" s="56" t="s">
        <v>162</v>
      </c>
      <c r="C30" s="67"/>
      <c r="D30" s="68"/>
    </row>
    <row r="31" spans="1:4" ht="15.75" thickBot="1">
      <c r="A31" s="59" t="s">
        <v>163</v>
      </c>
      <c r="B31" s="56" t="s">
        <v>164</v>
      </c>
      <c r="C31" s="67"/>
      <c r="D31" s="68"/>
    </row>
    <row r="32" spans="1:4" ht="15.75" thickBot="1">
      <c r="A32" s="58">
        <v>11</v>
      </c>
      <c r="B32" s="56" t="s">
        <v>165</v>
      </c>
      <c r="C32" s="146"/>
      <c r="D32" s="147"/>
    </row>
    <row r="33" spans="1:5" ht="30.75" thickBot="1">
      <c r="A33" s="58">
        <v>12</v>
      </c>
      <c r="B33" s="56" t="s">
        <v>166</v>
      </c>
      <c r="C33" s="146"/>
      <c r="D33" s="147"/>
    </row>
    <row r="34" spans="1:5" ht="30.75" thickBot="1">
      <c r="A34" s="58">
        <v>13</v>
      </c>
      <c r="B34" s="56" t="s">
        <v>167</v>
      </c>
      <c r="C34" s="146"/>
      <c r="D34" s="147"/>
    </row>
    <row r="35" spans="1:5" ht="30.75" thickBot="1">
      <c r="A35" s="58">
        <v>14</v>
      </c>
      <c r="B35" s="56" t="s">
        <v>168</v>
      </c>
      <c r="C35" s="148"/>
      <c r="D35" s="149"/>
    </row>
    <row r="36" spans="1:5" ht="57" customHeight="1" thickBot="1">
      <c r="A36" s="58">
        <v>15</v>
      </c>
      <c r="B36" s="56" t="s">
        <v>169</v>
      </c>
      <c r="C36" s="148"/>
      <c r="D36" s="149"/>
    </row>
    <row r="37" spans="1:5" ht="15.75" thickBot="1">
      <c r="A37" s="58">
        <v>16</v>
      </c>
      <c r="B37" s="56" t="s">
        <v>170</v>
      </c>
      <c r="C37" s="146"/>
      <c r="D37" s="147"/>
    </row>
    <row r="38" spans="1:5" ht="15.75" thickBot="1">
      <c r="A38" s="58">
        <v>17</v>
      </c>
      <c r="B38" s="56" t="s">
        <v>171</v>
      </c>
      <c r="C38" s="146"/>
      <c r="D38" s="147"/>
    </row>
    <row r="39" spans="1:5" ht="15.75" thickBot="1">
      <c r="A39" s="58">
        <v>18</v>
      </c>
      <c r="B39" s="56" t="s">
        <v>172</v>
      </c>
      <c r="C39" s="144"/>
      <c r="D39" s="145"/>
    </row>
    <row r="40" spans="1:5" ht="15.75" thickBot="1">
      <c r="A40" s="58">
        <v>19</v>
      </c>
      <c r="B40" s="56" t="s">
        <v>173</v>
      </c>
      <c r="C40" s="144"/>
      <c r="D40" s="145"/>
    </row>
    <row r="41" spans="1:5" ht="15.75" thickBot="1">
      <c r="A41" s="58">
        <v>20</v>
      </c>
      <c r="B41" s="56" t="s">
        <v>174</v>
      </c>
      <c r="C41" s="144"/>
      <c r="D41" s="145"/>
    </row>
    <row r="42" spans="1:5" ht="15.75" thickBot="1">
      <c r="A42" s="58">
        <v>21</v>
      </c>
      <c r="B42" s="56" t="s">
        <v>175</v>
      </c>
      <c r="C42" s="144"/>
      <c r="D42" s="145"/>
    </row>
    <row r="43" spans="1:5" ht="15.75" thickBot="1">
      <c r="A43" s="58">
        <v>22</v>
      </c>
      <c r="B43" s="56" t="s">
        <v>181</v>
      </c>
      <c r="C43" s="144"/>
      <c r="D43" s="145"/>
      <c r="E43">
        <f>C43</f>
        <v>0</v>
      </c>
    </row>
    <row r="44" spans="1:5" ht="15.75" thickBot="1">
      <c r="A44" s="58">
        <v>23</v>
      </c>
      <c r="B44" s="56" t="s">
        <v>176</v>
      </c>
      <c r="C44" s="144"/>
      <c r="D44" s="145"/>
    </row>
    <row r="45" spans="1:5" ht="33.75" customHeight="1" thickBot="1">
      <c r="A45" s="58">
        <v>24</v>
      </c>
      <c r="B45" s="56" t="s">
        <v>177</v>
      </c>
      <c r="C45" s="144"/>
      <c r="D45" s="145"/>
    </row>
    <row r="46" spans="1:5" ht="35.25" customHeight="1" thickBot="1">
      <c r="A46" s="58">
        <v>25</v>
      </c>
      <c r="B46" s="56" t="s">
        <v>178</v>
      </c>
      <c r="C46" s="144"/>
      <c r="D46" s="145"/>
    </row>
    <row r="47" spans="1:5" ht="15.75" thickBot="1">
      <c r="A47" s="58">
        <v>26</v>
      </c>
      <c r="B47" s="56" t="s">
        <v>195</v>
      </c>
      <c r="C47" s="159"/>
      <c r="D47" s="160"/>
      <c r="E47" s="76">
        <f>C47</f>
        <v>0</v>
      </c>
    </row>
    <row r="48" spans="1:5" ht="15.75" thickBot="1">
      <c r="A48" s="58">
        <v>27</v>
      </c>
      <c r="B48" s="56" t="s">
        <v>196</v>
      </c>
      <c r="C48" s="159"/>
      <c r="D48" s="160"/>
      <c r="E48" s="76">
        <f>C48</f>
        <v>0</v>
      </c>
    </row>
    <row r="49" spans="1:5" ht="15.75" thickBot="1">
      <c r="A49" s="58">
        <v>28</v>
      </c>
      <c r="B49" s="56" t="s">
        <v>197</v>
      </c>
      <c r="C49" s="159"/>
      <c r="D49" s="160"/>
      <c r="E49" s="76">
        <f>C49</f>
        <v>0</v>
      </c>
    </row>
    <row r="50" spans="1:5" ht="86.25" customHeight="1" thickBot="1">
      <c r="A50" s="58">
        <v>29</v>
      </c>
      <c r="B50" s="56" t="s">
        <v>179</v>
      </c>
      <c r="C50" s="148"/>
      <c r="D50" s="149"/>
    </row>
  </sheetData>
  <sheetProtection password="D876" sheet="1" objects="1" scenarios="1"/>
  <mergeCells count="37">
    <mergeCell ref="C50:D50"/>
    <mergeCell ref="A2:B2"/>
    <mergeCell ref="A3:B3"/>
    <mergeCell ref="C2:D3"/>
    <mergeCell ref="C13:D13"/>
    <mergeCell ref="C9:D9"/>
    <mergeCell ref="C44:D44"/>
    <mergeCell ref="C45:D45"/>
    <mergeCell ref="C46:D46"/>
    <mergeCell ref="C47:D47"/>
    <mergeCell ref="C48:D48"/>
    <mergeCell ref="C49:D49"/>
    <mergeCell ref="C38:D38"/>
    <mergeCell ref="C39:D39"/>
    <mergeCell ref="C40:D40"/>
    <mergeCell ref="C41:D41"/>
    <mergeCell ref="C42:D42"/>
    <mergeCell ref="C43:D43"/>
    <mergeCell ref="C32:D32"/>
    <mergeCell ref="C33:D33"/>
    <mergeCell ref="C34:D34"/>
    <mergeCell ref="C35:D35"/>
    <mergeCell ref="C36:D36"/>
    <mergeCell ref="C37:D37"/>
    <mergeCell ref="C14:D14"/>
    <mergeCell ref="C15:D15"/>
    <mergeCell ref="C16:D16"/>
    <mergeCell ref="C17:D17"/>
    <mergeCell ref="C18:D18"/>
    <mergeCell ref="C12:D12"/>
    <mergeCell ref="C4:D4"/>
    <mergeCell ref="C5:D5"/>
    <mergeCell ref="C6:D6"/>
    <mergeCell ref="C7:D7"/>
    <mergeCell ref="C8:D8"/>
    <mergeCell ref="C10:D10"/>
    <mergeCell ref="C11:D11"/>
  </mergeCells>
  <dataValidations count="6">
    <dataValidation type="list" allowBlank="1" showInputMessage="1" showErrorMessage="1" errorTitle="BŁĄD" error="Wybierz wartość pola z listy rozwijanej. Dozwolone wartości: TAK, NIE, ND" sqref="C40:D41">
      <formula1>"TAK, NIE, ND"</formula1>
    </dataValidation>
    <dataValidation type="list" allowBlank="1" showInputMessage="1" showErrorMessage="1" errorTitle="Wartość poza zakresem" error="Wybierz wartość pola z listy rozwijanej." sqref="C44:D44">
      <formula1>"bez zastrzżeń,  z zastrzeżeniem, z dodatkowym objaśnieniem, z zastrzeżeniem i dodatkowym objaśnieniem, odmowa wyrażenia opinii, nie dotyczy"</formula1>
    </dataValidation>
    <dataValidation type="date" allowBlank="1" showInputMessage="1" showErrorMessage="1" errorTitle="NIEPRAWIDOWA DATA" error="Została wprowadzona nieprawidłowa data lub data w nierpawidłowym formacie" sqref="C49:D49">
      <formula1>42005</formula1>
      <formula2>44196</formula2>
    </dataValidation>
    <dataValidation type="date" allowBlank="1" showInputMessage="1" showErrorMessage="1" errorTitle="NIEPRAWIDOWA DATA" error="Została wprowadzona nieprawidłowa data lub data w nierpawidłowym formacie" sqref="C48:D48">
      <formula1>42370</formula1>
      <formula2>44196</formula2>
    </dataValidation>
    <dataValidation type="date" allowBlank="1" showInputMessage="1" showErrorMessage="1" errorTitle="NIEPRAWIDOWA DATA" error="Została wprowadzona nieprawidłowa data lub data w nierpawidłowym formacie" sqref="C47:D47">
      <formula1>2016-1-1</formula1>
      <formula2>44196</formula2>
    </dataValidation>
    <dataValidation type="list" allowBlank="1" showInputMessage="1" showErrorMessage="1" errorTitle="BŁĄD" error="Wybierz wartość pola z listy rozwijanej. Dozwolone wartości: TAK, NIE" sqref="C32:D34 C37:D38">
      <formula1>"TAK, NIE"</formula1>
    </dataValidation>
  </dataValidations>
  <printOptions horizontalCentered="1" verticalCentered="1"/>
  <pageMargins left="0.43307086614173229" right="0.19685039370078741" top="0.35433070866141736" bottom="0.27559055118110237" header="0.19685039370078741" footer="0.15748031496062992"/>
  <pageSetup paperSize="9" scale="74" orientation="portrait" r:id="rId1"/>
  <colBreaks count="1" manualBreakCount="1">
    <brk id="4" max="1048575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2</vt:i4>
      </vt:variant>
    </vt:vector>
  </HeadingPairs>
  <TitlesOfParts>
    <vt:vector size="5" baseType="lpstr">
      <vt:lpstr>DanePomocnicze</vt:lpstr>
      <vt:lpstr>Kalkulacja</vt:lpstr>
      <vt:lpstr>KARTA INFORMACYJNA</vt:lpstr>
      <vt:lpstr>Kalkulacja!Obszar_wydruku</vt:lpstr>
      <vt:lpstr>'KARTA INFORMACYJNA'!Obszar_wydruku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Wojciech Gawroński</dc:creator>
  <cp:lastModifiedBy>Wojciech Gawroński</cp:lastModifiedBy>
  <cp:lastPrinted>2015-09-24T14:55:57Z</cp:lastPrinted>
  <dcterms:created xsi:type="dcterms:W3CDTF">2014-12-12T11:03:15Z</dcterms:created>
  <dcterms:modified xsi:type="dcterms:W3CDTF">2015-09-24T15:22:06Z</dcterms:modified>
</cp:coreProperties>
</file>